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updateLinks="always" autoCompressPictures="0"/>
  <mc:AlternateContent xmlns:mc="http://schemas.openxmlformats.org/markup-compatibility/2006">
    <mc:Choice Requires="x15">
      <x15ac:absPath xmlns:x15ac="http://schemas.microsoft.com/office/spreadsheetml/2010/11/ac" url="C:\Users\dhillesheim\Dropbox (Personal)\HomeBrewing\"/>
    </mc:Choice>
  </mc:AlternateContent>
  <bookViews>
    <workbookView xWindow="0" yWindow="0" windowWidth="20490" windowHeight="9630" tabRatio="561"/>
  </bookViews>
  <sheets>
    <sheet name="Mash" sheetId="14" r:id="rId1"/>
    <sheet name="Summary" sheetId="19" r:id="rId2"/>
    <sheet name="Water Profiles" sheetId="16" r:id="rId3"/>
    <sheet name="Scratch" sheetId="12" r:id="rId4"/>
  </sheets>
  <externalReferences>
    <externalReference r:id="rId5"/>
    <externalReference r:id="rId6"/>
  </externalReferences>
  <definedNames>
    <definedName name="_xlnm._FilterDatabase" localSheetId="0" hidden="1">Mash!#REF!</definedName>
    <definedName name="acid" localSheetId="3">[1]Sheet2!$I$6:$I$8</definedName>
    <definedName name="Acid_List" localSheetId="3">Scratch!$I$6:$I$8</definedName>
    <definedName name="anscount" hidden="1">2</definedName>
    <definedName name="CaCO3" localSheetId="3">Scratch!$J$3:$J$4</definedName>
    <definedName name="Carbo" localSheetId="3">Scratch!$J$7:$J$8</definedName>
    <definedName name="Carbo">[2]Scratch!$J$7:$J$8</definedName>
    <definedName name="_xlnm.Print_Area" localSheetId="1">Summary!$B$1:$P$21</definedName>
    <definedName name="RA" localSheetId="3">#REF!</definedName>
    <definedName name="solver_adj" localSheetId="0" hidden="1">Mash!$B$15</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Mash!$E$15</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34</definedName>
    <definedName name="solver_ver" localSheetId="0" hidden="1">3</definedName>
    <definedName name="srm_hi" localSheetId="3">#REF!</definedName>
    <definedName name="srm_lo" localSheetId="3">#REF!</definedName>
  </definedNames>
  <calcPr calcId="152511"/>
</workbook>
</file>

<file path=xl/calcChain.xml><?xml version="1.0" encoding="utf-8"?>
<calcChain xmlns="http://schemas.openxmlformats.org/spreadsheetml/2006/main">
  <c r="G6" i="14" l="1"/>
  <c r="B17" i="19" l="1"/>
  <c r="I26" i="16" l="1"/>
  <c r="H34" i="14" l="1"/>
  <c r="H33" i="14"/>
  <c r="H32" i="14"/>
  <c r="H31" i="14"/>
  <c r="H29" i="14"/>
  <c r="H28" i="14"/>
  <c r="D40" i="14" l="1"/>
  <c r="Y11" i="12"/>
  <c r="W13" i="12"/>
  <c r="W14" i="12" s="1"/>
  <c r="N6" i="12"/>
  <c r="G24" i="14"/>
  <c r="E24" i="14"/>
  <c r="J11" i="12"/>
  <c r="J12" i="12"/>
  <c r="N11" i="12"/>
  <c r="F24" i="14"/>
  <c r="D24" i="14"/>
  <c r="E12" i="14"/>
  <c r="B15" i="14" l="1"/>
  <c r="L20" i="16" l="1"/>
  <c r="L18" i="16"/>
  <c r="L11" i="16"/>
  <c r="L10" i="16"/>
  <c r="L7" i="16"/>
  <c r="L5" i="16"/>
  <c r="K11" i="16"/>
  <c r="K10" i="16"/>
  <c r="E26" i="16"/>
  <c r="L26" i="16" s="1"/>
  <c r="F12" i="14"/>
  <c r="D12" i="14"/>
  <c r="H12" i="14"/>
  <c r="I12" i="14"/>
  <c r="G12" i="14"/>
  <c r="C12" i="14"/>
  <c r="J9" i="19" l="1"/>
  <c r="J8" i="19"/>
  <c r="H8" i="19"/>
  <c r="G8" i="19"/>
  <c r="F8" i="19"/>
  <c r="C8" i="19"/>
  <c r="F40" i="12" l="1"/>
  <c r="G40" i="12" s="1"/>
  <c r="F41" i="12"/>
  <c r="G41" i="12" s="1"/>
  <c r="F42" i="12"/>
  <c r="G42" i="12" s="1"/>
  <c r="F39" i="12"/>
  <c r="G39" i="12" s="1"/>
  <c r="B9" i="19"/>
  <c r="B8" i="19"/>
  <c r="B6" i="19"/>
  <c r="K41" i="12" l="1"/>
  <c r="H21" i="14"/>
  <c r="H9" i="19" s="1"/>
  <c r="E14" i="14" l="1"/>
  <c r="C46" i="14" l="1"/>
  <c r="C43" i="14"/>
  <c r="F29" i="12"/>
  <c r="F30" i="12"/>
  <c r="F31" i="12"/>
  <c r="F32" i="12"/>
  <c r="F33" i="12"/>
  <c r="F34" i="12"/>
  <c r="F35" i="12"/>
  <c r="F28" i="12"/>
  <c r="D18" i="12"/>
  <c r="D14" i="12"/>
  <c r="C7" i="12"/>
  <c r="B7" i="12"/>
  <c r="A7" i="12"/>
  <c r="A6" i="12"/>
  <c r="F21" i="14"/>
  <c r="F9" i="19" s="1"/>
  <c r="H9" i="14" l="1"/>
  <c r="O9" i="14" l="1"/>
  <c r="C30" i="14" l="1"/>
  <c r="C27" i="14"/>
  <c r="O12" i="14"/>
  <c r="K12" i="14"/>
  <c r="L12" i="14" s="1"/>
  <c r="K9" i="14"/>
  <c r="D6" i="14"/>
  <c r="C6" i="14"/>
  <c r="E9" i="14" l="1"/>
  <c r="B17" i="14"/>
  <c r="G17" i="14" s="1"/>
  <c r="N12" i="14"/>
  <c r="M12" i="14"/>
  <c r="H15" i="14"/>
  <c r="G15" i="14"/>
  <c r="D15" i="14"/>
  <c r="C15" i="14"/>
  <c r="E15" i="14"/>
  <c r="F15" i="14"/>
  <c r="B13" i="19" l="1"/>
  <c r="B3" i="19"/>
  <c r="L9" i="14"/>
  <c r="M9" i="14" s="1"/>
  <c r="H17" i="14"/>
  <c r="B6" i="12"/>
  <c r="G28" i="12"/>
  <c r="B8" i="12"/>
  <c r="C8" i="12"/>
  <c r="G35" i="12"/>
  <c r="G34" i="12"/>
  <c r="H33" i="12"/>
  <c r="G31" i="12"/>
  <c r="I35" i="12"/>
  <c r="G32" i="12"/>
  <c r="H32" i="12"/>
  <c r="I32" i="12"/>
  <c r="I31" i="12"/>
  <c r="G29" i="12"/>
  <c r="H29" i="12"/>
  <c r="I29" i="12"/>
  <c r="G30" i="12"/>
  <c r="H30" i="12"/>
  <c r="I30" i="12"/>
  <c r="D8" i="12" l="1"/>
  <c r="E8" i="12" s="1"/>
  <c r="E20" i="14"/>
  <c r="D20" i="14"/>
  <c r="D21" i="14" s="1"/>
  <c r="F8" i="12"/>
  <c r="N9" i="14"/>
  <c r="J29" i="12"/>
  <c r="K29" i="12" s="1"/>
  <c r="L29" i="12" s="1"/>
  <c r="G33" i="12"/>
  <c r="I28" i="12"/>
  <c r="H28" i="12"/>
  <c r="I34" i="12"/>
  <c r="J32" i="12"/>
  <c r="K32" i="12" s="1"/>
  <c r="L32" i="12" s="1"/>
  <c r="I33" i="12"/>
  <c r="H34" i="12"/>
  <c r="D7" i="12"/>
  <c r="G7" i="12" s="1"/>
  <c r="D21" i="12" s="1"/>
  <c r="J30" i="12"/>
  <c r="K30" i="12" s="1"/>
  <c r="L30" i="12" s="1"/>
  <c r="H31" i="12"/>
  <c r="J31" i="12" s="1"/>
  <c r="K31" i="12" s="1"/>
  <c r="L31" i="12" s="1"/>
  <c r="H35" i="12"/>
  <c r="C6" i="12"/>
  <c r="D6" i="12" s="1"/>
  <c r="G8" i="12" l="1"/>
  <c r="J33" i="12"/>
  <c r="K33" i="12" s="1"/>
  <c r="L33" i="12" s="1"/>
  <c r="N29" i="12"/>
  <c r="M29" i="12"/>
  <c r="J28" i="12"/>
  <c r="N28" i="12" s="1"/>
  <c r="M32" i="12"/>
  <c r="N32" i="12"/>
  <c r="F7" i="12"/>
  <c r="D20" i="12" s="1"/>
  <c r="J35" i="12"/>
  <c r="K35" i="12" s="1"/>
  <c r="L35" i="12" s="1"/>
  <c r="E7" i="12"/>
  <c r="D19" i="12" s="1"/>
  <c r="J34" i="12"/>
  <c r="K34" i="12" s="1"/>
  <c r="L34" i="12" s="1"/>
  <c r="E6" i="12"/>
  <c r="F6" i="12"/>
  <c r="D16" i="12" s="1"/>
  <c r="M31" i="12"/>
  <c r="G6" i="12"/>
  <c r="D17" i="12" s="1"/>
  <c r="N31" i="12"/>
  <c r="M30" i="12"/>
  <c r="N30" i="12"/>
  <c r="O29" i="12" l="1"/>
  <c r="M33" i="12"/>
  <c r="N33" i="12"/>
  <c r="O32" i="12"/>
  <c r="K28" i="12"/>
  <c r="L28" i="12" s="1"/>
  <c r="M28" i="12"/>
  <c r="M35" i="12"/>
  <c r="N34" i="12"/>
  <c r="M34" i="12"/>
  <c r="O30" i="12"/>
  <c r="O31" i="12"/>
  <c r="N35" i="12"/>
  <c r="D15" i="12"/>
  <c r="O33" i="12" l="1"/>
  <c r="O34" i="12"/>
  <c r="O35" i="12"/>
  <c r="O28" i="12"/>
  <c r="D17" i="14" l="1"/>
  <c r="C17" i="14"/>
  <c r="D20" i="19" l="1"/>
  <c r="G20" i="19"/>
  <c r="H24" i="14"/>
  <c r="D37" i="14"/>
  <c r="D19" i="19" s="1"/>
  <c r="O15" i="14"/>
  <c r="I24" i="14"/>
  <c r="E8" i="19" l="1"/>
  <c r="D8" i="19"/>
  <c r="D21" i="19"/>
  <c r="C20" i="19"/>
  <c r="J20" i="19" s="1"/>
  <c r="E21" i="14"/>
  <c r="E9" i="19" s="1"/>
  <c r="D9" i="19"/>
  <c r="K15" i="14"/>
  <c r="K20" i="19" s="1"/>
  <c r="E20" i="19" l="1"/>
  <c r="L15" i="14"/>
  <c r="I20" i="14" s="1"/>
  <c r="D12" i="12"/>
  <c r="I21" i="14" l="1"/>
  <c r="D13" i="12"/>
  <c r="C24" i="14"/>
  <c r="L24" i="14" s="1"/>
  <c r="E17" i="14"/>
  <c r="D30" i="14" s="1"/>
  <c r="M15" i="14"/>
  <c r="F17" i="14"/>
  <c r="N15" i="14"/>
  <c r="C21" i="14"/>
  <c r="C9" i="19" s="1"/>
  <c r="G21" i="14"/>
  <c r="G9" i="19" s="1"/>
  <c r="G37" i="14"/>
  <c r="G19" i="19" s="1"/>
  <c r="G21" i="19" s="1"/>
  <c r="D22" i="12" l="1"/>
  <c r="D23" i="12" s="1"/>
  <c r="P28" i="12" s="1"/>
  <c r="D43" i="14" s="1"/>
  <c r="D31" i="14"/>
  <c r="E32" i="14"/>
  <c r="D27" i="14"/>
  <c r="D29" i="14"/>
  <c r="D28" i="14"/>
  <c r="E34" i="14"/>
  <c r="E33" i="14"/>
  <c r="P32" i="12" l="1"/>
  <c r="D47" i="14" s="1"/>
  <c r="P33" i="12"/>
  <c r="D48" i="14" s="1"/>
  <c r="E43" i="14"/>
  <c r="P34" i="12"/>
  <c r="D49" i="14" s="1"/>
  <c r="P31" i="12"/>
  <c r="D46" i="14" s="1"/>
  <c r="P30" i="12"/>
  <c r="D44" i="14" s="1"/>
  <c r="P35" i="12"/>
  <c r="D50" i="14" s="1"/>
  <c r="P29" i="12"/>
  <c r="D45" i="14" s="1"/>
  <c r="F20" i="19"/>
  <c r="L20" i="19" s="1"/>
  <c r="E40" i="14" l="1"/>
  <c r="F40" i="14" s="1"/>
  <c r="E46" i="14"/>
  <c r="M20" i="19"/>
  <c r="N20" i="19"/>
  <c r="I8" i="19" l="1"/>
  <c r="J24" i="14"/>
  <c r="M24" i="14" s="1"/>
  <c r="E37" i="14" s="1"/>
  <c r="I9" i="19"/>
  <c r="C37" i="14"/>
  <c r="E19" i="19" l="1"/>
  <c r="E21" i="19" s="1"/>
  <c r="K37" i="14"/>
  <c r="K19" i="19" s="1"/>
  <c r="K21" i="19" s="1"/>
  <c r="J37" i="14"/>
  <c r="J19" i="19" s="1"/>
  <c r="J21" i="19" s="1"/>
  <c r="C19" i="19"/>
  <c r="C21" i="19" s="1"/>
  <c r="F30" i="14" l="1"/>
  <c r="F27" i="14"/>
  <c r="H27" i="14" s="1"/>
  <c r="I30" i="14" l="1"/>
  <c r="I37" i="14" s="1"/>
  <c r="I19" i="19" s="1"/>
  <c r="H30" i="14"/>
  <c r="F37" i="14" s="1"/>
  <c r="L37" i="14" s="1"/>
  <c r="I27" i="14"/>
  <c r="H37" i="14" s="1"/>
  <c r="H19" i="19" s="1"/>
  <c r="B11" i="19"/>
  <c r="P37" i="14" l="1"/>
  <c r="P19" i="19" s="1"/>
  <c r="F19" i="19"/>
  <c r="F21" i="19" s="1"/>
  <c r="N37" i="14"/>
  <c r="N19" i="19" s="1"/>
  <c r="N21" i="19" s="1"/>
  <c r="M37" i="14"/>
  <c r="M19" i="19" s="1"/>
  <c r="M21" i="19" s="1"/>
  <c r="L19" i="19"/>
  <c r="L21" i="19" s="1"/>
  <c r="O37" i="14" l="1"/>
  <c r="O19" i="19" s="1"/>
  <c r="B15" i="19"/>
  <c r="I20" i="19"/>
  <c r="H20" i="19"/>
  <c r="H21" i="19" s="1"/>
  <c r="P20" i="19" l="1"/>
  <c r="O20" i="19" s="1"/>
  <c r="I21" i="19"/>
  <c r="P21" i="19" s="1"/>
  <c r="O21" i="19" s="1"/>
</calcChain>
</file>

<file path=xl/comments1.xml><?xml version="1.0" encoding="utf-8"?>
<comments xmlns="http://schemas.openxmlformats.org/spreadsheetml/2006/main">
  <authors>
    <author>John Palmer</author>
    <author>The Palmers</author>
    <author>3M</author>
    <author>Daniel Hillesheim</author>
  </authors>
  <commentList>
    <comment ref="B1" authorId="0" shapeId="0">
      <text>
        <r>
          <rPr>
            <b/>
            <sz val="8"/>
            <color indexed="81"/>
            <rFont val="Tahoma"/>
            <family val="2"/>
          </rPr>
          <t>John Palmer:</t>
        </r>
        <r>
          <rPr>
            <sz val="8"/>
            <color indexed="81"/>
            <rFont val="Tahoma"/>
            <family val="2"/>
          </rPr>
          <t xml:space="preserve">
Changes from V1: Version 1 contained an error where final Residual Alkalinity was not calculated correctly if "Bicarbonate" was selected. Other conversion errors were corrected as well. My apologies. - John Palmer 04/03/08
2.1: Danny Williams found an error in the dilution contribution.
04/07/2008
2.2: Soren Tygesen found an error in Step 8. 
2.3 Fixed address error in cell L11. Added condtional formating to RA results cells if RA exceeds 300ppm.
2.4: Added Chloride to Sulfate Ratio to indicate flavor balance.
2.5: Added NaCl and got more accurate with added ppm of ions.
3.0: Corrected the contributed alkalinity from chalk additions. The current equation has been verified by Dr. Mark Benjamin of Univ of Washington. Revised Chloride to Sulfate ratio to Sulfate to Chloride and adjusted flavor ranges based on user data.</t>
        </r>
      </text>
    </comment>
    <comment ref="B5" authorId="1" shapeId="0">
      <text>
        <r>
          <rPr>
            <b/>
            <sz val="9"/>
            <color indexed="81"/>
            <rFont val="Verdana"/>
            <family val="2"/>
          </rPr>
          <t>Target RA Estimator:</t>
        </r>
        <r>
          <rPr>
            <sz val="9"/>
            <color indexed="81"/>
            <rFont val="Verdana"/>
            <family val="2"/>
          </rPr>
          <t xml:space="preserve">
Enter the color of the beer that you would like to brew. A range of suitable RA will be calculated. Use the High end if the beer contains a lot of roasted malt, and the low end if the color comes from Crystal or toasted malts.</t>
        </r>
      </text>
    </comment>
    <comment ref="B8" authorId="2" shapeId="0">
      <text>
        <r>
          <rPr>
            <b/>
            <sz val="9"/>
            <color indexed="81"/>
            <rFont val="Arial"/>
            <family val="2"/>
          </rPr>
          <t>Target Water Profile:</t>
        </r>
        <r>
          <rPr>
            <sz val="9"/>
            <color indexed="81"/>
            <rFont val="Arial"/>
            <family val="2"/>
          </rPr>
          <t xml:space="preserve">
Input the mineral profile for a brewing city you are trying to copy. The residual alkalinity for the profile will be calculated. A range of suggested beer color appropriate to this RA is also calculated.</t>
        </r>
      </text>
    </comment>
    <comment ref="B14" authorId="2" shapeId="0">
      <text>
        <r>
          <rPr>
            <b/>
            <sz val="9"/>
            <color indexed="81"/>
            <rFont val="Arial"/>
            <family val="2"/>
          </rPr>
          <t>Dilute with Distilled Water:</t>
        </r>
        <r>
          <rPr>
            <sz val="9"/>
            <color indexed="81"/>
            <rFont val="Arial"/>
            <family val="2"/>
          </rPr>
          <t xml:space="preserve">
Example: 10% dilution would be 1 part distilled to 9 parts tap water.</t>
        </r>
      </text>
    </comment>
    <comment ref="B16" authorId="2" shapeId="0">
      <text>
        <r>
          <rPr>
            <b/>
            <sz val="9"/>
            <color indexed="81"/>
            <rFont val="Tahoma"/>
            <family val="2"/>
          </rPr>
          <t>Target Residual Alkalinity:</t>
        </r>
        <r>
          <rPr>
            <sz val="9"/>
            <color indexed="81"/>
            <rFont val="Tahoma"/>
            <family val="2"/>
          </rPr>
          <t xml:space="preserve">
Enter the RA corresponding to the color of the beer you would like to target here. See Nomograph for colors. The boxes at right will display the additional Hardness or Alkalinity necessary to achieve it. </t>
        </r>
      </text>
    </comment>
    <comment ref="B19" authorId="2" shapeId="0">
      <text>
        <r>
          <rPr>
            <b/>
            <sz val="9"/>
            <color indexed="81"/>
            <rFont val="Arial"/>
            <family val="2"/>
          </rPr>
          <t>Salt Additions:</t>
        </r>
        <r>
          <rPr>
            <sz val="9"/>
            <color indexed="81"/>
            <rFont val="Arial"/>
            <family val="2"/>
          </rPr>
          <t xml:space="preserve">
To achieve a target mash pH or to enhance the flavor of a beer, enter the additions of each salt here in grams.</t>
        </r>
      </text>
    </comment>
    <comment ref="I19" authorId="3" shapeId="0">
      <text>
        <r>
          <rPr>
            <b/>
            <sz val="9"/>
            <color indexed="81"/>
            <rFont val="Tahoma"/>
            <family val="2"/>
          </rPr>
          <t>Daniel Hillesheim:</t>
        </r>
        <r>
          <rPr>
            <sz val="9"/>
            <color indexed="81"/>
            <rFont val="Tahoma"/>
            <family val="2"/>
          </rPr>
          <t xml:space="preserve">
Only calculates based on Needed Alkalinity, does not account for alkalinity reduction happening by Ca&amp;Mg additions</t>
        </r>
      </text>
    </comment>
    <comment ref="B23" authorId="2" shapeId="0">
      <text>
        <r>
          <rPr>
            <b/>
            <sz val="9"/>
            <color indexed="81"/>
            <rFont val="Arial"/>
            <family val="2"/>
          </rPr>
          <t>Ion Contributions:</t>
        </r>
        <r>
          <rPr>
            <sz val="9"/>
            <color indexed="81"/>
            <rFont val="Arial"/>
            <family val="2"/>
          </rPr>
          <t xml:space="preserve">
The ion contributions per gallon for the salt additions you input above are calculated here. The Contributed Hardness and Alkalinity boxes at right can be checked to see when you have added enough (re. the Needed boxes above).</t>
        </r>
      </text>
    </comment>
    <comment ref="J24" authorId="3" shapeId="0">
      <text>
        <r>
          <rPr>
            <b/>
            <sz val="9"/>
            <color indexed="81"/>
            <rFont val="Tahoma"/>
            <family val="2"/>
          </rPr>
          <t>Daniel Hillesheim:</t>
        </r>
        <r>
          <rPr>
            <sz val="9"/>
            <color indexed="81"/>
            <rFont val="Tahoma"/>
            <family val="2"/>
          </rPr>
          <t xml:space="preserve">
mass Ca(OH)2 * MWOH * 2/MWCa(OH)2*MWCaCO3/2</t>
        </r>
      </text>
    </comment>
    <comment ref="C26" authorId="0" shapeId="0">
      <text>
        <r>
          <rPr>
            <b/>
            <sz val="8"/>
            <color indexed="81"/>
            <rFont val="Tahoma"/>
            <family val="2"/>
          </rPr>
          <t>Concentration:</t>
        </r>
        <r>
          <rPr>
            <sz val="8"/>
            <color indexed="81"/>
            <rFont val="Tahoma"/>
            <family val="2"/>
          </rPr>
          <t xml:space="preserve">
You can adjust the concentration of the acids here.</t>
        </r>
      </text>
    </comment>
    <comment ref="B39" authorId="1" shapeId="0">
      <text>
        <r>
          <rPr>
            <b/>
            <sz val="9"/>
            <color indexed="81"/>
            <rFont val="Verdana"/>
            <family val="2"/>
          </rPr>
          <t>Measure Water pH:</t>
        </r>
        <r>
          <rPr>
            <sz val="9"/>
            <color indexed="81"/>
            <rFont val="Verdana"/>
            <family val="2"/>
          </rPr>
          <t xml:space="preserve">
You MUST measure the pH of the water you want to adjust.</t>
        </r>
      </text>
    </comment>
    <comment ref="F39" authorId="3" shapeId="0">
      <text>
        <r>
          <rPr>
            <b/>
            <sz val="9"/>
            <color indexed="81"/>
            <rFont val="Tahoma"/>
            <family val="2"/>
          </rPr>
          <t>Daniel Hillesheim:</t>
        </r>
        <r>
          <rPr>
            <sz val="9"/>
            <color indexed="81"/>
            <rFont val="Tahoma"/>
            <family val="2"/>
          </rPr>
          <t xml:space="preserve">
Suggeted value &lt;25</t>
        </r>
      </text>
    </comment>
    <comment ref="C40" authorId="1" shapeId="0">
      <text>
        <r>
          <rPr>
            <b/>
            <sz val="9"/>
            <color indexed="81"/>
            <rFont val="Verdana"/>
            <family val="2"/>
          </rPr>
          <t>Target Sparge water pH:</t>
        </r>
        <r>
          <rPr>
            <sz val="9"/>
            <color indexed="81"/>
            <rFont val="Verdana"/>
            <family val="2"/>
          </rPr>
          <t xml:space="preserve">
I recommend keeping this at 7 or 6; it doesn't need to be lower.</t>
        </r>
      </text>
    </comment>
    <comment ref="C44" authorId="1" shapeId="0">
      <text>
        <r>
          <rPr>
            <b/>
            <sz val="9"/>
            <color indexed="81"/>
            <rFont val="Verdana"/>
            <family val="2"/>
          </rPr>
          <t>Lactic w/w%:</t>
        </r>
        <r>
          <rPr>
            <sz val="9"/>
            <color indexed="81"/>
            <rFont val="Verdana"/>
            <family val="2"/>
          </rPr>
          <t xml:space="preserve">
typically 80- 88%.</t>
        </r>
      </text>
    </comment>
    <comment ref="C45" authorId="1" shapeId="0">
      <text>
        <r>
          <rPr>
            <b/>
            <sz val="9"/>
            <color indexed="81"/>
            <rFont val="Verdana"/>
            <family val="2"/>
          </rPr>
          <t xml:space="preserve">Phosphoric w/w%:
</t>
        </r>
        <r>
          <rPr>
            <sz val="9"/>
            <color indexed="81"/>
            <rFont val="Verdana"/>
            <family val="2"/>
          </rPr>
          <t>You can input the bottle concentration here.</t>
        </r>
      </text>
    </comment>
    <comment ref="C47" authorId="1" shapeId="0">
      <text>
        <r>
          <rPr>
            <b/>
            <sz val="9"/>
            <color indexed="81"/>
            <rFont val="Verdana"/>
            <family val="2"/>
          </rPr>
          <t>Acetic w/w%:</t>
        </r>
        <r>
          <rPr>
            <sz val="9"/>
            <color indexed="81"/>
            <rFont val="Verdana"/>
            <family val="2"/>
          </rPr>
          <t xml:space="preserve">
You can input the bottle concentration here.
</t>
        </r>
      </text>
    </comment>
    <comment ref="C48" authorId="1" shapeId="0">
      <text>
        <r>
          <rPr>
            <b/>
            <sz val="9"/>
            <color indexed="81"/>
            <rFont val="Verdana"/>
            <family val="2"/>
          </rPr>
          <t>This acid is typically in solid form.</t>
        </r>
      </text>
    </comment>
    <comment ref="C49" authorId="1" shapeId="0">
      <text>
        <r>
          <rPr>
            <b/>
            <sz val="9"/>
            <color indexed="81"/>
            <rFont val="Verdana"/>
            <family val="2"/>
          </rPr>
          <t>This acid is typically in solid form.</t>
        </r>
      </text>
    </comment>
    <comment ref="C50" authorId="1" shapeId="0">
      <text>
        <r>
          <rPr>
            <b/>
            <sz val="9"/>
            <color indexed="81"/>
            <rFont val="Verdana"/>
            <family val="2"/>
          </rPr>
          <t>This acid is typically in solid form.</t>
        </r>
      </text>
    </comment>
  </commentList>
</comments>
</file>

<file path=xl/sharedStrings.xml><?xml version="1.0" encoding="utf-8"?>
<sst xmlns="http://schemas.openxmlformats.org/spreadsheetml/2006/main" count="355" uniqueCount="240">
  <si>
    <t>Sulfate to Chloride Ratio</t>
    <phoneticPr fontId="2"/>
  </si>
  <si>
    <t>Dilution Rate</t>
  </si>
  <si>
    <t>Acid Adjustment</t>
  </si>
  <si>
    <t>Hydrochloric</t>
  </si>
  <si>
    <t>Lactic</t>
  </si>
  <si>
    <t>User Input</t>
  </si>
  <si>
    <t>Calc. Output</t>
  </si>
  <si>
    <t>Mash Water Addition (ml)</t>
  </si>
  <si>
    <t>Target Residual Alkalinity</t>
  </si>
  <si>
    <t>Additional Eff. Hardness Needed</t>
  </si>
  <si>
    <t>H2CO3</t>
  </si>
  <si>
    <t>HCO3-</t>
  </si>
  <si>
    <t>CO3--</t>
  </si>
  <si>
    <t>ph</t>
  </si>
  <si>
    <t>r1</t>
  </si>
  <si>
    <t>r2</t>
  </si>
  <si>
    <t>d</t>
  </si>
  <si>
    <t>f1</t>
  </si>
  <si>
    <t>f2</t>
  </si>
  <si>
    <t>f3</t>
  </si>
  <si>
    <t>ct</t>
  </si>
  <si>
    <t>lactic</t>
  </si>
  <si>
    <t>phosphoric</t>
  </si>
  <si>
    <t>hydrochloric</t>
  </si>
  <si>
    <t>mEq/L</t>
  </si>
  <si>
    <t>Calculated values</t>
  </si>
  <si>
    <t>Total Alkalinity</t>
  </si>
  <si>
    <t xml:space="preserve">    converted to mEq/L</t>
  </si>
  <si>
    <t>Carbo system at pH =</t>
  </si>
  <si>
    <t>acid</t>
  </si>
  <si>
    <t>pk1</t>
  </si>
  <si>
    <t>pk2</t>
  </si>
  <si>
    <t>pk3</t>
  </si>
  <si>
    <t>pH</t>
  </si>
  <si>
    <t>r1d</t>
  </si>
  <si>
    <t>r2d</t>
  </si>
  <si>
    <t>r3d</t>
  </si>
  <si>
    <t>dd</t>
  </si>
  <si>
    <t>f1d</t>
  </si>
  <si>
    <t>f2d</t>
  </si>
  <si>
    <t>f3d</t>
  </si>
  <si>
    <t>f4d</t>
  </si>
  <si>
    <r>
      <t>% of Carbo as HCO</t>
    </r>
    <r>
      <rPr>
        <vertAlign val="subscript"/>
        <sz val="10"/>
        <rFont val="Arial"/>
        <family val="2"/>
      </rPr>
      <t>3</t>
    </r>
    <r>
      <rPr>
        <vertAlign val="superscript"/>
        <sz val="10"/>
        <rFont val="Arial"/>
        <family val="2"/>
      </rPr>
      <t>-</t>
    </r>
  </si>
  <si>
    <r>
      <t>% of Carbo as CO</t>
    </r>
    <r>
      <rPr>
        <vertAlign val="subscript"/>
        <sz val="10"/>
        <rFont val="Arial"/>
        <family val="2"/>
      </rPr>
      <t>3</t>
    </r>
    <r>
      <rPr>
        <vertAlign val="superscript"/>
        <sz val="10"/>
        <rFont val="Arial"/>
        <family val="2"/>
      </rPr>
      <t>--</t>
    </r>
  </si>
  <si>
    <t>HCO3 ppm (if pH&lt;8.4)</t>
  </si>
  <si>
    <t>Water pH</t>
  </si>
  <si>
    <t>Bottle Conc.</t>
  </si>
  <si>
    <t>Est. Acid-Only Mash Addition (ml)</t>
  </si>
  <si>
    <t>frac/ H ions</t>
  </si>
  <si>
    <t>mEq/l</t>
  </si>
  <si>
    <t>sulfuric</t>
  </si>
  <si>
    <t>(ppm)</t>
  </si>
  <si>
    <t>Target Water</t>
  </si>
  <si>
    <t>Additional Alkalinity Needed</t>
  </si>
  <si>
    <t>Salt Additions</t>
  </si>
  <si>
    <t>Salt Contributions</t>
  </si>
  <si>
    <t>Adjusted Mash</t>
  </si>
  <si>
    <t>Adjusted mEq Acid</t>
  </si>
  <si>
    <r>
      <t>% of Carbo as H</t>
    </r>
    <r>
      <rPr>
        <vertAlign val="subscript"/>
        <sz val="10"/>
        <rFont val="Arial"/>
        <family val="2"/>
      </rPr>
      <t>2</t>
    </r>
    <r>
      <rPr>
        <sz val="10"/>
        <rFont val="Verdana"/>
        <family val="2"/>
      </rPr>
      <t>CO</t>
    </r>
    <r>
      <rPr>
        <vertAlign val="subscript"/>
        <sz val="10"/>
        <rFont val="Arial"/>
        <family val="2"/>
      </rPr>
      <t>3</t>
    </r>
  </si>
  <si>
    <t>Carbonate Ratio at (_) pH</t>
  </si>
  <si>
    <t>Adjusted Total Alk</t>
  </si>
  <si>
    <t>E (rough)</t>
  </si>
  <si>
    <t>Est. SRM (Low)</t>
  </si>
  <si>
    <t>Target Color (SRM)</t>
  </si>
  <si>
    <t>Target RA Est. SRM (Low)</t>
  </si>
  <si>
    <r>
      <t>Step 6: Optional:</t>
    </r>
    <r>
      <rPr>
        <sz val="9"/>
        <rFont val="Arial Bold"/>
      </rPr>
      <t xml:space="preserve"> Add Acid to Mash Water. (Enter Zero if not adding acid.)</t>
    </r>
  </si>
  <si>
    <r>
      <t>Step 7: Result:</t>
    </r>
    <r>
      <rPr>
        <sz val="9"/>
        <rFont val="Arial Bold"/>
      </rPr>
      <t xml:space="preserve"> Adjusted Mash Chemistry and Final Residual Alkalinity and Beer Color Range</t>
    </r>
  </si>
  <si>
    <r>
      <t>Step 8: Optional:</t>
    </r>
    <r>
      <rPr>
        <sz val="9"/>
        <rFont val="Arial Bold"/>
      </rPr>
      <t xml:space="preserve"> Sparge Water pH Adjustment</t>
    </r>
  </si>
  <si>
    <t>Target RA Est. SRM (High)</t>
  </si>
  <si>
    <t>Est. SRM (High)</t>
  </si>
  <si>
    <t>Est. RA (High)</t>
  </si>
  <si>
    <t>Est. RA (Low)</t>
  </si>
  <si>
    <t>Measure Sparge Water pH @ 20C</t>
  </si>
  <si>
    <t>Target Sparge Water pH @ 20C</t>
  </si>
  <si>
    <t>(grams)</t>
  </si>
  <si>
    <t>(Effective Hardness)</t>
  </si>
  <si>
    <t>Barely Bitter</t>
  </si>
  <si>
    <t>Slightly Bitter</t>
  </si>
  <si>
    <t>acetic</t>
  </si>
  <si>
    <t>citric</t>
  </si>
  <si>
    <t>tartaric</t>
  </si>
  <si>
    <t>Moderately Bitter</t>
  </si>
  <si>
    <t>Sulfuric</t>
  </si>
  <si>
    <t>density</t>
  </si>
  <si>
    <t>reference concentration</t>
  </si>
  <si>
    <t>modified from Tom M's Acid Addition Calculation Sheet (palmer 10/2006) (pierce 05/2012)</t>
  </si>
  <si>
    <t>molar mass</t>
  </si>
  <si>
    <t>malic</t>
  </si>
  <si>
    <t>Sulfate to Chloride Balance</t>
    <phoneticPr fontId="2"/>
  </si>
  <si>
    <t>Sulfate to Chloride Ratio</t>
    <phoneticPr fontId="2"/>
  </si>
  <si>
    <t>Contributed Alkalinity from CO3</t>
  </si>
  <si>
    <t>Contributed Alkalinity from HCO3</t>
    <phoneticPr fontId="2"/>
  </si>
  <si>
    <t>Contributed Alkalinity from OH</t>
  </si>
  <si>
    <t>Est. Acid-Only Mash Addition (g)</t>
  </si>
  <si>
    <t>Mash Water Addition (g)</t>
  </si>
  <si>
    <t>Phosphoric</t>
  </si>
  <si>
    <t>Acetic</t>
  </si>
  <si>
    <t>Tartaric</t>
  </si>
  <si>
    <t>Citric</t>
  </si>
  <si>
    <t>Malic</t>
  </si>
  <si>
    <t>Ratio</t>
  </si>
  <si>
    <t>Balance</t>
  </si>
  <si>
    <t>Too Malty</t>
  </si>
  <si>
    <t>Very Malty</t>
  </si>
  <si>
    <t>Malty</t>
  </si>
  <si>
    <t>Balanced</t>
  </si>
  <si>
    <t>Little Bitter</t>
  </si>
  <si>
    <t>More Bitter</t>
  </si>
  <si>
    <t>Extra Bitter</t>
  </si>
  <si>
    <t>Quite Bitter</t>
  </si>
  <si>
    <t>Very Bitter</t>
  </si>
  <si>
    <t>Too Bitter</t>
  </si>
  <si>
    <t>http://www.brewersfriend.com/mash-chemistry-and-brewing-water-calculator/?id=LHBL36G</t>
  </si>
  <si>
    <t>London Porter</t>
  </si>
  <si>
    <t>London Pale</t>
  </si>
  <si>
    <t>((2*B8-5.2-122.4/12.2)/(0.082+1/12.2)+K11)*(61/50)</t>
  </si>
  <si>
    <t>&lt;---- calculates Bicarbonate as average SRM</t>
  </si>
  <si>
    <t>Canning Salt NaCl</t>
  </si>
  <si>
    <t>FUD</t>
  </si>
  <si>
    <t>Peed's RO</t>
  </si>
  <si>
    <t>Bicarbonate</t>
  </si>
  <si>
    <t>SBCUD</t>
  </si>
  <si>
    <t>Select Dilution Water</t>
  </si>
  <si>
    <t>approx. 1/4 tsp</t>
  </si>
  <si>
    <t>Total Water (l)</t>
  </si>
  <si>
    <t>Volume of Dilution Water (l)</t>
  </si>
  <si>
    <t>Calculates acids based on Mash, not sparge; acidify sparge seperately</t>
  </si>
  <si>
    <t>Modifed by Bill Pierce</t>
  </si>
  <si>
    <r>
      <t>Chalk       CaCO</t>
    </r>
    <r>
      <rPr>
        <b/>
        <vertAlign val="subscript"/>
        <sz val="9"/>
        <rFont val="Arial"/>
        <family val="2"/>
      </rPr>
      <t>3</t>
    </r>
  </si>
  <si>
    <r>
      <t>Gypsum  CaSO</t>
    </r>
    <r>
      <rPr>
        <b/>
        <vertAlign val="subscript"/>
        <sz val="9"/>
        <rFont val="Arial"/>
        <family val="2"/>
      </rPr>
      <t>4</t>
    </r>
    <r>
      <rPr>
        <b/>
        <sz val="9"/>
        <rFont val="Arial"/>
        <family val="2"/>
      </rPr>
      <t xml:space="preserve"> *2H</t>
    </r>
    <r>
      <rPr>
        <b/>
        <vertAlign val="subscript"/>
        <sz val="9"/>
        <rFont val="Arial"/>
        <family val="2"/>
      </rPr>
      <t>2</t>
    </r>
    <r>
      <rPr>
        <b/>
        <sz val="9"/>
        <rFont val="Arial"/>
        <family val="2"/>
      </rPr>
      <t>O</t>
    </r>
  </si>
  <si>
    <r>
      <t>Calcium Chloride  CaCl</t>
    </r>
    <r>
      <rPr>
        <b/>
        <vertAlign val="subscript"/>
        <sz val="9"/>
        <rFont val="Arial"/>
        <family val="2"/>
      </rPr>
      <t>2</t>
    </r>
    <r>
      <rPr>
        <b/>
        <sz val="9"/>
        <rFont val="Arial"/>
        <family val="2"/>
      </rPr>
      <t>*2H</t>
    </r>
    <r>
      <rPr>
        <b/>
        <vertAlign val="subscript"/>
        <sz val="9"/>
        <rFont val="Arial"/>
        <family val="2"/>
      </rPr>
      <t>2</t>
    </r>
    <r>
      <rPr>
        <b/>
        <sz val="9"/>
        <rFont val="Arial"/>
        <family val="2"/>
      </rPr>
      <t>O</t>
    </r>
  </si>
  <si>
    <r>
      <t>Epsom Salt  MgSO</t>
    </r>
    <r>
      <rPr>
        <b/>
        <vertAlign val="subscript"/>
        <sz val="9"/>
        <rFont val="Arial"/>
        <family val="2"/>
      </rPr>
      <t>4</t>
    </r>
    <r>
      <rPr>
        <b/>
        <sz val="9"/>
        <rFont val="Arial"/>
        <family val="2"/>
      </rPr>
      <t xml:space="preserve"> *7H</t>
    </r>
    <r>
      <rPr>
        <b/>
        <vertAlign val="subscript"/>
        <sz val="9"/>
        <rFont val="Arial"/>
        <family val="2"/>
      </rPr>
      <t>2</t>
    </r>
    <r>
      <rPr>
        <b/>
        <sz val="9"/>
        <rFont val="Arial"/>
        <family val="2"/>
      </rPr>
      <t>O</t>
    </r>
  </si>
  <si>
    <r>
      <t>Baking Soda  NaHCO</t>
    </r>
    <r>
      <rPr>
        <b/>
        <vertAlign val="subscript"/>
        <sz val="9"/>
        <rFont val="Arial"/>
        <family val="2"/>
      </rPr>
      <t>3</t>
    </r>
  </si>
  <si>
    <r>
      <t>Pickling Lime Ca(OH)</t>
    </r>
    <r>
      <rPr>
        <b/>
        <vertAlign val="subscript"/>
        <sz val="9"/>
        <rFont val="Arial"/>
        <family val="2"/>
      </rPr>
      <t>2</t>
    </r>
  </si>
  <si>
    <r>
      <t>Magnesium Chloride MgCl</t>
    </r>
    <r>
      <rPr>
        <b/>
        <vertAlign val="subscript"/>
        <sz val="9"/>
        <rFont val="Arial"/>
        <family val="2"/>
      </rPr>
      <t>2</t>
    </r>
    <r>
      <rPr>
        <b/>
        <sz val="9"/>
        <rFont val="Arial"/>
        <family val="2"/>
      </rPr>
      <t xml:space="preserve"> *6H</t>
    </r>
    <r>
      <rPr>
        <b/>
        <vertAlign val="subscript"/>
        <sz val="9"/>
        <rFont val="Arial"/>
        <family val="2"/>
      </rPr>
      <t>2</t>
    </r>
    <r>
      <rPr>
        <b/>
        <sz val="9"/>
        <rFont val="Arial"/>
        <family val="2"/>
      </rPr>
      <t>0</t>
    </r>
  </si>
  <si>
    <t>Calcium</t>
  </si>
  <si>
    <t>Magnesium</t>
  </si>
  <si>
    <t>Sodium</t>
  </si>
  <si>
    <t>Chloride</t>
  </si>
  <si>
    <t>Sulfate</t>
  </si>
  <si>
    <r>
      <t>Residual Alkalinity as CaCO</t>
    </r>
    <r>
      <rPr>
        <b/>
        <i/>
        <vertAlign val="subscript"/>
        <sz val="9"/>
        <rFont val="Arial"/>
        <family val="2"/>
      </rPr>
      <t>3</t>
    </r>
  </si>
  <si>
    <t>Chloride or Sulfate Contributed</t>
  </si>
  <si>
    <r>
      <t>Total Contributed Hardness as CaCO</t>
    </r>
    <r>
      <rPr>
        <b/>
        <i/>
        <vertAlign val="subscript"/>
        <sz val="9"/>
        <rFont val="Arial"/>
        <family val="2"/>
      </rPr>
      <t>3</t>
    </r>
  </si>
  <si>
    <r>
      <t>Total Contributed Alkalinity as CaCO</t>
    </r>
    <r>
      <rPr>
        <b/>
        <i/>
        <vertAlign val="subscript"/>
        <sz val="9"/>
        <rFont val="Arial"/>
        <family val="2"/>
      </rPr>
      <t>3</t>
    </r>
  </si>
  <si>
    <r>
      <t>Neutralized Alkalinity as CaCO</t>
    </r>
    <r>
      <rPr>
        <b/>
        <vertAlign val="subscript"/>
        <sz val="9"/>
        <rFont val="Arial"/>
        <family val="2"/>
      </rPr>
      <t>3</t>
    </r>
  </si>
  <si>
    <r>
      <t>Alkalinity as CaCO</t>
    </r>
    <r>
      <rPr>
        <b/>
        <i/>
        <vertAlign val="subscript"/>
        <sz val="9"/>
        <rFont val="Arial"/>
        <family val="2"/>
      </rPr>
      <t>3</t>
    </r>
  </si>
  <si>
    <r>
      <t>Effective Alkalinity as CaCO</t>
    </r>
    <r>
      <rPr>
        <b/>
        <i/>
        <vertAlign val="subscript"/>
        <sz val="9"/>
        <rFont val="Arial"/>
        <family val="2"/>
      </rPr>
      <t>3</t>
    </r>
  </si>
  <si>
    <r>
      <t>Total Hardness as CaCO</t>
    </r>
    <r>
      <rPr>
        <b/>
        <i/>
        <vertAlign val="subscript"/>
        <sz val="9"/>
        <rFont val="Arial"/>
        <family val="2"/>
      </rPr>
      <t>3</t>
    </r>
  </si>
  <si>
    <r>
      <t>Effective Hardness as CaCO</t>
    </r>
    <r>
      <rPr>
        <b/>
        <i/>
        <vertAlign val="subscript"/>
        <sz val="9"/>
        <rFont val="Arial"/>
        <family val="2"/>
      </rPr>
      <t>3</t>
    </r>
  </si>
  <si>
    <r>
      <t>Target ranges for mineral levels in beer brewing:
Flavor Ions:
 Calcium (Ca</t>
    </r>
    <r>
      <rPr>
        <vertAlign val="superscript"/>
        <sz val="14"/>
        <rFont val="Arial"/>
        <family val="2"/>
      </rPr>
      <t>+2</t>
    </r>
    <r>
      <rPr>
        <sz val="14"/>
        <rFont val="Arial"/>
        <family val="2"/>
      </rPr>
      <t>) – target range of 50-150 ppm
 Magnesium (Mg</t>
    </r>
    <r>
      <rPr>
        <vertAlign val="superscript"/>
        <sz val="14"/>
        <rFont val="Arial"/>
        <family val="2"/>
      </rPr>
      <t>+2</t>
    </r>
    <r>
      <rPr>
        <sz val="14"/>
        <rFont val="Arial"/>
        <family val="2"/>
      </rPr>
      <t>) – target range of 0-30 ppm
 Sulfate (SO</t>
    </r>
    <r>
      <rPr>
        <vertAlign val="subscript"/>
        <sz val="14"/>
        <rFont val="Arial"/>
        <family val="2"/>
      </rPr>
      <t>4</t>
    </r>
    <r>
      <rPr>
        <vertAlign val="superscript"/>
        <sz val="14"/>
        <rFont val="Arial"/>
        <family val="2"/>
      </rPr>
      <t>-2</t>
    </r>
    <r>
      <rPr>
        <sz val="14"/>
        <rFont val="Arial"/>
        <family val="2"/>
      </rPr>
      <t>) – target range 50-150 ppm for normal beers, 150-350ppm for highly bitter beers.
 Sodium (Na</t>
    </r>
    <r>
      <rPr>
        <vertAlign val="superscript"/>
        <sz val="14"/>
        <rFont val="Arial"/>
        <family val="2"/>
      </rPr>
      <t>+</t>
    </r>
    <r>
      <rPr>
        <sz val="14"/>
        <rFont val="Arial"/>
        <family val="2"/>
      </rPr>
      <t>) – target range 0-150 ppm
 Chloride (Cl</t>
    </r>
    <r>
      <rPr>
        <vertAlign val="superscript"/>
        <sz val="14"/>
        <rFont val="Arial"/>
        <family val="2"/>
      </rPr>
      <t>-</t>
    </r>
    <r>
      <rPr>
        <sz val="14"/>
        <rFont val="Arial"/>
        <family val="2"/>
      </rPr>
      <t>) – target range 0-250 ppm.
 Harmful levels:
Concentrations above these levels are harmful to the beer, and much beyond they become harmful to our health!
 Calcium (Ca</t>
    </r>
    <r>
      <rPr>
        <vertAlign val="superscript"/>
        <sz val="14"/>
        <rFont val="Arial"/>
        <family val="2"/>
      </rPr>
      <t>+2</t>
    </r>
    <r>
      <rPr>
        <sz val="14"/>
        <rFont val="Arial"/>
        <family val="2"/>
      </rPr>
      <t>) – 250 ppm
 Magnesium (Mg</t>
    </r>
    <r>
      <rPr>
        <vertAlign val="superscript"/>
        <sz val="14"/>
        <rFont val="Arial"/>
        <family val="2"/>
      </rPr>
      <t>+2</t>
    </r>
    <r>
      <rPr>
        <sz val="14"/>
        <rFont val="Arial"/>
        <family val="2"/>
      </rPr>
      <t>) – 50 ppm
 Sulfate (SO</t>
    </r>
    <r>
      <rPr>
        <vertAlign val="subscript"/>
        <sz val="14"/>
        <rFont val="Arial"/>
        <family val="2"/>
      </rPr>
      <t>4</t>
    </r>
    <r>
      <rPr>
        <vertAlign val="superscript"/>
        <sz val="14"/>
        <rFont val="Arial"/>
        <family val="2"/>
      </rPr>
      <t>-2</t>
    </r>
    <r>
      <rPr>
        <sz val="14"/>
        <rFont val="Arial"/>
        <family val="2"/>
      </rPr>
      <t>) – above 750 ppm
 Sodium (Na</t>
    </r>
    <r>
      <rPr>
        <vertAlign val="superscript"/>
        <sz val="14"/>
        <rFont val="Arial"/>
        <family val="2"/>
      </rPr>
      <t>+</t>
    </r>
    <r>
      <rPr>
        <sz val="14"/>
        <rFont val="Arial"/>
        <family val="2"/>
      </rPr>
      <t>) – above 200 ppm
 Chloride (Cl</t>
    </r>
    <r>
      <rPr>
        <vertAlign val="superscript"/>
        <sz val="14"/>
        <rFont val="Arial"/>
        <family val="2"/>
      </rPr>
      <t>-</t>
    </r>
    <r>
      <rPr>
        <sz val="14"/>
        <rFont val="Arial"/>
        <family val="2"/>
      </rPr>
      <t>) – above 300 ppm
Chloride and Sodium add the maltiness of a beer.
Sulfate highlights bitterness and reduces malt flavor.
 2:1 sulfate to chloride is good for bitter beer
 1:2 sulfate to chloride for mild ales
 1:3 sulfate to chloride for stouts and porters
Alkalinity Range:
Alkalinity impacts the pH of the mash, a key factor in efficiency. Bicarbonate (HCO</t>
    </r>
    <r>
      <rPr>
        <vertAlign val="subscript"/>
        <sz val="14"/>
        <rFont val="Arial"/>
        <family val="2"/>
      </rPr>
      <t>3</t>
    </r>
    <r>
      <rPr>
        <vertAlign val="superscript"/>
        <sz val="14"/>
        <rFont val="Arial"/>
        <family val="2"/>
      </rPr>
      <t>-</t>
    </r>
    <r>
      <rPr>
        <sz val="14"/>
        <rFont val="Arial"/>
        <family val="2"/>
      </rPr>
      <t xml:space="preserve">) – ppm depends on style of beer, lower for lighter beers, higher for darker beers.
 0-50 for pale beers
 50-150 for amber beers
 150-400 for dark beers
</t>
    </r>
  </si>
  <si>
    <t>Mash Acid Adjustment</t>
  </si>
  <si>
    <r>
      <t>ppm as CaCO</t>
    </r>
    <r>
      <rPr>
        <vertAlign val="subscript"/>
        <sz val="10"/>
        <rFont val="Verdana"/>
        <family val="2"/>
      </rPr>
      <t>3</t>
    </r>
  </si>
  <si>
    <r>
      <t>Alkalinity as CaCO</t>
    </r>
    <r>
      <rPr>
        <vertAlign val="subscript"/>
        <sz val="10"/>
        <rFont val="Verdana"/>
        <family val="2"/>
      </rPr>
      <t>3</t>
    </r>
  </si>
  <si>
    <t>Volume of Source Water (l)</t>
  </si>
  <si>
    <t>Alkalinity as CaCO3</t>
  </si>
  <si>
    <t>if(Residual Alkalinity as CaCO3&gt;Target Residual Alkalinity),</t>
  </si>
  <si>
    <t>Additional Eff. Hardness Needed/50*Mash Water Volume*3.785*Molar Mass</t>
  </si>
  <si>
    <t>--------------------------------------------------------------------</t>
  </si>
  <si>
    <t>[Acid]*(1+(([Acid]/[Concentrated Acid])*Acid Density))*1000</t>
  </si>
  <si>
    <t>(I31/Scratch!A45)/((35.45*[Acid]*(1+(([Acid]/[Concentrated Acid])*Acid Density))*1000)/(Molar Mass*Mash Water Volume*3.785))</t>
  </si>
  <si>
    <t>IF(((E38-K38-B18))/((2*50*C31*(1+(C31*Scratch!R31))*1000)/(Scratch!B31*(C18-G6/3.78541178)*3.785))&lt;0,0,((E38-K38-B18))/((2*50*C31*(1+(C31*Scratch!R31))*1000)/(Scratch!B31*(C18-G6/3.78541178)*3.785)))</t>
  </si>
  <si>
    <t>Mash Water (l)</t>
  </si>
  <si>
    <r>
      <t>Step 2:</t>
    </r>
    <r>
      <rPr>
        <sz val="9"/>
        <rFont val="Arial Bold"/>
      </rPr>
      <t xml:space="preserve"> Select Source Water Profile. (Add or adjust profiles on Water Profiles Tab.)</t>
    </r>
  </si>
  <si>
    <r>
      <t>Step 1:</t>
    </r>
    <r>
      <rPr>
        <sz val="9"/>
        <rFont val="Arial Bold"/>
      </rPr>
      <t xml:space="preserve"> Enter Target Beer Color and Water Usage stats in yellow boxes. Enter a Target Water Profile (Choose either "Bicarbonate" or "Total Alkalinity" in E8).  Select bitterness balance in I9</t>
    </r>
  </si>
  <si>
    <r>
      <t>Step 3:</t>
    </r>
    <r>
      <rPr>
        <sz val="9"/>
        <rFont val="Arial Bold"/>
      </rPr>
      <t xml:space="preserve"> Dilute Source Water with Distilled Water or RO Water. (Add or adjust profiles on Water Profiles Tab.)</t>
    </r>
  </si>
  <si>
    <r>
      <t xml:space="preserve">Step 5: </t>
    </r>
    <r>
      <rPr>
        <sz val="9"/>
        <rFont val="Arial Bold"/>
      </rPr>
      <t>Add extra salts to Mash Water in yellow boxes if desired.</t>
    </r>
  </si>
  <si>
    <t>(I30/Scratch!A45)/((35.45*C27*(1+((C27/Scratch!S28)*Scratch!R28))*1000)/(Scratch!B28*C17*3.785))</t>
  </si>
  <si>
    <t>IF(((E37-K37-B17))/((2*50*C30*(1+(C30*Scratch!R31))*1000)/(Scratch!B31*(C17-G6/3.78541178)*3.785))&lt;0,0,((E37-K37-B17))/((2*50*C30*(1+(C30*Scratch!R31))*1000)/(Scratch!B31*(C17-G6/3.78541178)*3.785)))</t>
  </si>
  <si>
    <t>HCl</t>
  </si>
  <si>
    <t>H2SO4</t>
  </si>
  <si>
    <t>eq ion/mL</t>
  </si>
  <si>
    <t>ratio</t>
  </si>
  <si>
    <t>my solutions</t>
  </si>
  <si>
    <t>Add the following to the grist before dough in:</t>
  </si>
  <si>
    <t>acutal</t>
  </si>
  <si>
    <t>Est. Sparge Water Addition (ml or g)</t>
  </si>
  <si>
    <t>Sparge</t>
  </si>
  <si>
    <t>Projected Profiles</t>
  </si>
  <si>
    <t>Mash</t>
  </si>
  <si>
    <t>Boil</t>
  </si>
  <si>
    <t>No Dilution</t>
  </si>
  <si>
    <t>TASS</t>
  </si>
  <si>
    <t>HPUD</t>
  </si>
  <si>
    <t>KUB</t>
  </si>
  <si>
    <t>CUD</t>
  </si>
  <si>
    <t>Source</t>
  </si>
  <si>
    <t>Year</t>
  </si>
  <si>
    <t>TDS</t>
  </si>
  <si>
    <t>Nitrate</t>
  </si>
  <si>
    <t>08 / 2014</t>
  </si>
  <si>
    <t>Clinton Rainwater</t>
  </si>
  <si>
    <t>08/2014</t>
  </si>
  <si>
    <t>Crossville</t>
  </si>
  <si>
    <t>2010</t>
  </si>
  <si>
    <t>Knox Chapman</t>
  </si>
  <si>
    <t>Maryville City</t>
  </si>
  <si>
    <t>08/14</t>
  </si>
  <si>
    <t>Sevierville</t>
  </si>
  <si>
    <t>Kodak</t>
  </si>
  <si>
    <t>Blackberry Farm</t>
  </si>
  <si>
    <t>Northeast Knox County Utility District</t>
  </si>
  <si>
    <t>Oak Ridge City</t>
  </si>
  <si>
    <t>Meigs County</t>
  </si>
  <si>
    <t>Jefferson City</t>
  </si>
  <si>
    <t>Love Creek Spring</t>
  </si>
  <si>
    <t>LCUD</t>
  </si>
  <si>
    <t>NAKUD</t>
  </si>
  <si>
    <t>Na
sodium</t>
  </si>
  <si>
    <t>Ca
calcium</t>
  </si>
  <si>
    <t>Mg
magnesium</t>
  </si>
  <si>
    <t>CO3
carbonate</t>
  </si>
  <si>
    <r>
      <t>Cl</t>
    </r>
    <r>
      <rPr>
        <vertAlign val="superscript"/>
        <sz val="10"/>
        <rFont val="Verdana"/>
        <family val="2"/>
      </rPr>
      <t>-</t>
    </r>
    <r>
      <rPr>
        <sz val="10"/>
        <rFont val="Verdana"/>
        <family val="2"/>
      </rPr>
      <t xml:space="preserve">
chloride</t>
    </r>
  </si>
  <si>
    <r>
      <t>SO</t>
    </r>
    <r>
      <rPr>
        <vertAlign val="subscript"/>
        <sz val="10"/>
        <rFont val="Verdana"/>
        <family val="2"/>
      </rPr>
      <t>4</t>
    </r>
    <r>
      <rPr>
        <vertAlign val="superscript"/>
        <sz val="10"/>
        <rFont val="Verdana"/>
        <family val="2"/>
      </rPr>
      <t>2-</t>
    </r>
    <r>
      <rPr>
        <sz val="10"/>
        <rFont val="Verdana"/>
        <family val="2"/>
      </rPr>
      <t xml:space="preserve">
sulfate</t>
    </r>
  </si>
  <si>
    <r>
      <t>HCO</t>
    </r>
    <r>
      <rPr>
        <vertAlign val="subscript"/>
        <sz val="10"/>
        <rFont val="Verdana"/>
        <family val="2"/>
      </rPr>
      <t>3</t>
    </r>
    <r>
      <rPr>
        <vertAlign val="superscript"/>
        <sz val="10"/>
        <rFont val="Verdana"/>
        <family val="2"/>
      </rPr>
      <t>-</t>
    </r>
    <r>
      <rPr>
        <sz val="10"/>
        <rFont val="Verdana"/>
        <family val="2"/>
      </rPr>
      <t xml:space="preserve">
bicarbonate</t>
    </r>
  </si>
  <si>
    <r>
      <t>Hardness as CaCO</t>
    </r>
    <r>
      <rPr>
        <vertAlign val="subscript"/>
        <sz val="10"/>
        <rFont val="Verdana"/>
        <family val="2"/>
      </rPr>
      <t>3</t>
    </r>
  </si>
  <si>
    <t>FUD (Boiled)</t>
  </si>
  <si>
    <t>RO DI</t>
  </si>
  <si>
    <t>RO Walmart</t>
  </si>
  <si>
    <t>calculated</t>
  </si>
  <si>
    <t>internet</t>
  </si>
  <si>
    <t>Brungard Article</t>
  </si>
  <si>
    <t>[CaCO3]=2.5[Ca]+4.1[Mg]</t>
  </si>
  <si>
    <t>Total hardness as CaCO3 is calc'd by</t>
  </si>
  <si>
    <t>Print the stuff in the box in landscape/fit to page and take notes as you brew.</t>
  </si>
  <si>
    <t>MW</t>
  </si>
  <si>
    <t>Ca</t>
  </si>
  <si>
    <t>Cl</t>
  </si>
  <si>
    <t>SO4</t>
  </si>
  <si>
    <t>Mg</t>
  </si>
  <si>
    <t>Na</t>
  </si>
  <si>
    <t>HCO3</t>
  </si>
  <si>
    <t>CO3</t>
  </si>
  <si>
    <t> 1 gram of chalk per gallon will contribute 106 mg/L of calcium, 265 mg/L of hardness, 264 mg/L of alkalinity and 76 mg/L of effective hardness (hardness and alkalinity are reported as CaCO3). </t>
  </si>
  <si>
    <t>Alkalinity as CaCO3 converter</t>
  </si>
  <si>
    <t>MW of CaCO3/2 for chage/MW HCO3</t>
  </si>
  <si>
    <t>~50/61</t>
  </si>
  <si>
    <t>OH</t>
  </si>
  <si>
    <t>Sparge Water Volume (l)</t>
  </si>
  <si>
    <t>Mash Residual Alkalinity Adjustment Worksheet Version 5.0</t>
  </si>
  <si>
    <t>Do not add salts to your sparge water. Assumes that the source water specified in step 3 will be used. Take a pH reading the day of the brew.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</si>
</sst>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0"/>
    <numFmt numFmtId="166" formatCode="0.000"/>
    <numFmt numFmtId="167" formatCode="0.00000"/>
  </numFmts>
  <fonts count="40" x14ac:knownFonts="1">
    <font>
      <sz val="10"/>
      <name val="Verdana"/>
    </font>
    <font>
      <sz val="9"/>
      <name val="Arial"/>
      <family val="2"/>
    </font>
    <font>
      <sz val="8"/>
      <name val="Verdana"/>
      <family val="2"/>
    </font>
    <font>
      <b/>
      <u/>
      <sz val="9"/>
      <name val="Arial"/>
      <family val="2"/>
    </font>
    <font>
      <b/>
      <sz val="9"/>
      <name val="Arial"/>
      <family val="2"/>
    </font>
    <font>
      <b/>
      <i/>
      <sz val="9"/>
      <name val="Arial"/>
      <family val="2"/>
    </font>
    <font>
      <i/>
      <sz val="9"/>
      <name val="Arial"/>
      <family val="2"/>
    </font>
    <font>
      <b/>
      <i/>
      <u/>
      <sz val="9"/>
      <name val="Arial"/>
      <family val="2"/>
    </font>
    <font>
      <b/>
      <sz val="9"/>
      <color indexed="81"/>
      <name val="Tahoma"/>
      <family val="2"/>
    </font>
    <font>
      <sz val="9"/>
      <color indexed="81"/>
      <name val="Tahoma"/>
      <family val="2"/>
    </font>
    <font>
      <sz val="9"/>
      <color indexed="81"/>
      <name val="Verdana"/>
      <family val="2"/>
    </font>
    <font>
      <b/>
      <sz val="9"/>
      <color indexed="81"/>
      <name val="Verdana"/>
      <family val="2"/>
    </font>
    <font>
      <b/>
      <i/>
      <sz val="12"/>
      <name val="Arial"/>
      <family val="2"/>
    </font>
    <font>
      <u/>
      <sz val="10"/>
      <name val="Arial"/>
      <family val="2"/>
    </font>
    <font>
      <vertAlign val="subscript"/>
      <sz val="10"/>
      <name val="Arial"/>
      <family val="2"/>
    </font>
    <font>
      <vertAlign val="superscript"/>
      <sz val="10"/>
      <name val="Arial"/>
      <family val="2"/>
    </font>
    <font>
      <sz val="10"/>
      <name val="Verdana"/>
      <family val="2"/>
    </font>
    <font>
      <sz val="10"/>
      <name val="Arial"/>
      <family val="2"/>
    </font>
    <font>
      <b/>
      <u/>
      <sz val="10"/>
      <name val="Arial"/>
      <family val="2"/>
    </font>
    <font>
      <b/>
      <sz val="9"/>
      <color indexed="81"/>
      <name val="Arial"/>
      <family val="2"/>
    </font>
    <font>
      <sz val="9"/>
      <color indexed="81"/>
      <name val="Arial"/>
      <family val="2"/>
    </font>
    <font>
      <b/>
      <u/>
      <sz val="12"/>
      <name val="Arial"/>
      <family val="2"/>
    </font>
    <font>
      <sz val="9"/>
      <name val="Arial Bold"/>
    </font>
    <font>
      <sz val="9"/>
      <name val="Verdana"/>
      <family val="2"/>
    </font>
    <font>
      <u/>
      <sz val="9"/>
      <name val="Arial Bold"/>
    </font>
    <font>
      <sz val="8"/>
      <color indexed="81"/>
      <name val="Tahoma"/>
      <family val="2"/>
    </font>
    <font>
      <b/>
      <sz val="8"/>
      <color indexed="81"/>
      <name val="Tahoma"/>
      <family val="2"/>
    </font>
    <font>
      <sz val="14"/>
      <name val="Arial"/>
      <family val="2"/>
    </font>
    <font>
      <u/>
      <sz val="10"/>
      <color theme="10"/>
      <name val="Verdana"/>
      <family val="2"/>
    </font>
    <font>
      <u/>
      <sz val="10"/>
      <color theme="11"/>
      <name val="Verdana"/>
      <family val="2"/>
    </font>
    <font>
      <b/>
      <sz val="12"/>
      <name val="Arial"/>
      <family val="2"/>
    </font>
    <font>
      <sz val="24"/>
      <name val="Arial"/>
      <family val="2"/>
    </font>
    <font>
      <b/>
      <vertAlign val="subscript"/>
      <sz val="9"/>
      <name val="Arial"/>
      <family val="2"/>
    </font>
    <font>
      <b/>
      <i/>
      <vertAlign val="subscript"/>
      <sz val="9"/>
      <name val="Arial"/>
      <family val="2"/>
    </font>
    <font>
      <vertAlign val="superscript"/>
      <sz val="14"/>
      <name val="Arial"/>
      <family val="2"/>
    </font>
    <font>
      <vertAlign val="subscript"/>
      <sz val="14"/>
      <name val="Arial"/>
      <family val="2"/>
    </font>
    <font>
      <vertAlign val="subscript"/>
      <sz val="10"/>
      <name val="Verdana"/>
      <family val="2"/>
    </font>
    <font>
      <sz val="14"/>
      <color rgb="FF000000"/>
      <name val="Verdana"/>
      <family val="2"/>
    </font>
    <font>
      <vertAlign val="superscript"/>
      <sz val="10"/>
      <name val="Verdana"/>
      <family val="2"/>
    </font>
    <font>
      <sz val="12"/>
      <color rgb="FF000000"/>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gray0625">
        <bgColor indexed="41"/>
      </patternFill>
    </fill>
    <fill>
      <patternFill patternType="gray0625">
        <bgColor indexed="43"/>
      </patternFill>
    </fill>
    <fill>
      <patternFill patternType="solid">
        <fgColor rgb="FFFFFF99"/>
        <bgColor indexed="64"/>
      </patternFill>
    </fill>
    <fill>
      <patternFill patternType="solid">
        <fgColor rgb="FFCCFFFF"/>
        <bgColor indexed="64"/>
      </patternFill>
    </fill>
  </fills>
  <borders count="30">
    <border>
      <left/>
      <right/>
      <top/>
      <bottom/>
      <diagonal/>
    </border>
    <border>
      <left style="double">
        <color auto="1"/>
      </left>
      <right style="double">
        <color auto="1"/>
      </right>
      <top style="double">
        <color auto="1"/>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style="medium">
        <color auto="1"/>
      </bottom>
      <diagonal/>
    </border>
    <border>
      <left style="double">
        <color auto="1"/>
      </left>
      <right style="double">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slantDashDot">
        <color auto="1"/>
      </left>
      <right style="slantDashDot">
        <color auto="1"/>
      </right>
      <top style="slantDashDot">
        <color auto="1"/>
      </top>
      <bottom style="slantDashDot">
        <color auto="1"/>
      </bottom>
      <diagonal/>
    </border>
    <border>
      <left style="slantDashDot">
        <color auto="1"/>
      </left>
      <right style="slantDashDot">
        <color auto="1"/>
      </right>
      <top style="slantDashDot">
        <color auto="1"/>
      </top>
      <bottom/>
      <diagonal/>
    </border>
    <border>
      <left style="slantDashDot">
        <color auto="1"/>
      </left>
      <right style="slantDashDot">
        <color auto="1"/>
      </right>
      <top style="slantDashDot">
        <color auto="1"/>
      </top>
      <bottom style="double">
        <color auto="1"/>
      </bottom>
      <diagonal/>
    </border>
    <border>
      <left style="slantDashDot">
        <color auto="1"/>
      </left>
      <right style="slantDashDot">
        <color auto="1"/>
      </right>
      <top/>
      <bottom style="slantDashDot">
        <color auto="1"/>
      </bottom>
      <diagonal/>
    </border>
    <border>
      <left/>
      <right/>
      <top style="double">
        <color auto="1"/>
      </top>
      <bottom style="double">
        <color auto="1"/>
      </bottom>
      <diagonal/>
    </border>
    <border>
      <left style="slantDashDot">
        <color auto="1"/>
      </left>
      <right style="slantDashDot">
        <color auto="1"/>
      </right>
      <top style="double">
        <color auto="1"/>
      </top>
      <bottom style="slantDashDot">
        <color auto="1"/>
      </bottom>
      <diagonal/>
    </border>
    <border>
      <left/>
      <right style="double">
        <color auto="1"/>
      </right>
      <top style="double">
        <color auto="1"/>
      </top>
      <bottom style="double">
        <color auto="1"/>
      </bottom>
      <diagonal/>
    </border>
    <border>
      <left/>
      <right style="thin">
        <color auto="1"/>
      </right>
      <top style="thin">
        <color auto="1"/>
      </top>
      <bottom/>
      <diagonal/>
    </border>
    <border>
      <left/>
      <right/>
      <top/>
      <bottom style="double">
        <color auto="1"/>
      </bottom>
      <diagonal/>
    </border>
    <border>
      <left style="double">
        <color auto="1"/>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double">
        <color auto="1"/>
      </right>
      <top style="double">
        <color auto="1"/>
      </top>
      <bottom style="double">
        <color auto="1"/>
      </bottom>
      <diagonal/>
    </border>
    <border>
      <left/>
      <right/>
      <top/>
      <bottom style="medium">
        <color auto="1"/>
      </bottom>
      <diagonal/>
    </border>
    <border>
      <left style="double">
        <color auto="1"/>
      </left>
      <right style="medium">
        <color indexed="64"/>
      </right>
      <top style="medium">
        <color indexed="64"/>
      </top>
      <bottom style="medium">
        <color indexed="64"/>
      </bottom>
      <diagonal/>
    </border>
  </borders>
  <cellStyleXfs count="201">
    <xf numFmtId="0" fontId="0" fillId="0" borderId="0"/>
    <xf numFmtId="43" fontId="17" fillId="0" borderId="0" applyFont="0" applyFill="0" applyBorder="0" applyAlignment="0" applyProtection="0"/>
    <xf numFmtId="0" fontId="17"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6" fillId="0" borderId="0"/>
    <xf numFmtId="0" fontId="28" fillId="0" borderId="0" applyNumberFormat="0" applyFill="0" applyBorder="0" applyAlignment="0" applyProtection="0"/>
  </cellStyleXfs>
  <cellXfs count="18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1" fillId="0" borderId="0" xfId="0" applyNumberFormat="1" applyFont="1" applyBorder="1" applyAlignment="1">
      <alignment horizontal="center" vertical="center" wrapText="1"/>
    </xf>
    <xf numFmtId="0" fontId="3"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7" fillId="0" borderId="5"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0" borderId="7" xfId="0" applyFont="1" applyBorder="1" applyAlignment="1">
      <alignment vertical="center" wrapText="1"/>
    </xf>
    <xf numFmtId="0" fontId="6"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12" fillId="0" borderId="0" xfId="0" applyFont="1"/>
    <xf numFmtId="0" fontId="13" fillId="4" borderId="9" xfId="0" applyFont="1" applyFill="1" applyBorder="1"/>
    <xf numFmtId="0" fontId="16" fillId="0" borderId="0" xfId="0" applyFont="1"/>
    <xf numFmtId="0" fontId="16" fillId="0" borderId="0" xfId="0" applyFont="1" applyAlignment="1">
      <alignment horizontal="center"/>
    </xf>
    <xf numFmtId="0" fontId="16" fillId="0" borderId="0" xfId="0" applyFont="1" applyFill="1"/>
    <xf numFmtId="0" fontId="17" fillId="0" borderId="0" xfId="0" applyFont="1"/>
    <xf numFmtId="0" fontId="17" fillId="0" borderId="7" xfId="0" applyFont="1" applyFill="1" applyBorder="1" applyAlignment="1">
      <alignment horizontal="center"/>
    </xf>
    <xf numFmtId="2" fontId="17" fillId="0" borderId="7" xfId="0" applyNumberFormat="1" applyFont="1" applyFill="1" applyBorder="1" applyAlignment="1">
      <alignment horizontal="center"/>
    </xf>
    <xf numFmtId="10" fontId="17" fillId="0" borderId="7" xfId="0" applyNumberFormat="1" applyFont="1" applyFill="1" applyBorder="1" applyAlignment="1">
      <alignment horizontal="center"/>
    </xf>
    <xf numFmtId="0" fontId="17" fillId="0" borderId="0" xfId="0" applyFont="1" applyBorder="1"/>
    <xf numFmtId="165" fontId="17" fillId="0" borderId="0" xfId="0" applyNumberFormat="1" applyFont="1" applyFill="1" applyBorder="1" applyAlignment="1">
      <alignment horizontal="center"/>
    </xf>
    <xf numFmtId="10" fontId="17" fillId="0" borderId="10" xfId="0" applyNumberFormat="1" applyFont="1" applyFill="1" applyBorder="1" applyAlignment="1">
      <alignment horizontal="center"/>
    </xf>
    <xf numFmtId="165" fontId="17" fillId="0" borderId="7" xfId="0" applyNumberFormat="1" applyFont="1" applyFill="1" applyBorder="1" applyAlignment="1">
      <alignment horizontal="center"/>
    </xf>
    <xf numFmtId="0" fontId="17" fillId="0" borderId="0" xfId="0" applyFont="1" applyFill="1" applyBorder="1"/>
    <xf numFmtId="0" fontId="16" fillId="4" borderId="0" xfId="0" applyFont="1" applyFill="1" applyBorder="1"/>
    <xf numFmtId="164" fontId="16" fillId="4" borderId="7" xfId="0" applyNumberFormat="1" applyFont="1" applyFill="1" applyBorder="1" applyAlignment="1">
      <alignment horizontal="center"/>
    </xf>
    <xf numFmtId="0" fontId="16" fillId="0" borderId="0" xfId="0" applyFont="1" applyFill="1" applyBorder="1"/>
    <xf numFmtId="0" fontId="17" fillId="0" borderId="0" xfId="0" applyFont="1" applyBorder="1" applyAlignment="1">
      <alignment horizontal="right"/>
    </xf>
    <xf numFmtId="165" fontId="17" fillId="0" borderId="14" xfId="0" applyNumberFormat="1" applyFont="1" applyBorder="1"/>
    <xf numFmtId="2" fontId="17" fillId="0" borderId="0" xfId="0" applyNumberFormat="1" applyFont="1" applyBorder="1" applyAlignment="1">
      <alignment horizontal="right"/>
    </xf>
    <xf numFmtId="2" fontId="17" fillId="0" borderId="0" xfId="0" applyNumberFormat="1" applyFont="1"/>
    <xf numFmtId="166" fontId="17" fillId="0" borderId="0" xfId="0" applyNumberFormat="1" applyFont="1"/>
    <xf numFmtId="0" fontId="17" fillId="0" borderId="0" xfId="0" applyFont="1" applyAlignment="1">
      <alignment horizontal="right"/>
    </xf>
    <xf numFmtId="0" fontId="18" fillId="0" borderId="0" xfId="0" applyFont="1"/>
    <xf numFmtId="1" fontId="5" fillId="2" borderId="3" xfId="0" applyNumberFormat="1" applyFont="1" applyFill="1" applyBorder="1" applyAlignment="1">
      <alignment horizontal="center" vertical="center"/>
    </xf>
    <xf numFmtId="0" fontId="5" fillId="0" borderId="15" xfId="0" applyFont="1" applyBorder="1" applyAlignment="1">
      <alignment horizontal="center" vertical="center" wrapText="1"/>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xf>
    <xf numFmtId="1" fontId="6" fillId="0" borderId="0" xfId="0" applyNumberFormat="1" applyFont="1" applyFill="1" applyBorder="1" applyAlignment="1">
      <alignment horizontal="center" vertical="center"/>
    </xf>
    <xf numFmtId="0" fontId="5" fillId="0" borderId="15" xfId="0" applyFont="1" applyFill="1" applyBorder="1" applyAlignment="1">
      <alignment horizontal="center" vertical="center" wrapText="1"/>
    </xf>
    <xf numFmtId="0" fontId="3"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1" fontId="5" fillId="2" borderId="15" xfId="0"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23" fillId="0" borderId="0" xfId="0" applyFont="1"/>
    <xf numFmtId="0" fontId="23" fillId="0" borderId="0" xfId="0" applyFont="1" applyFill="1"/>
    <xf numFmtId="0" fontId="24" fillId="5" borderId="0" xfId="0" applyFont="1" applyFill="1" applyBorder="1" applyAlignment="1">
      <alignment horizontal="left" vertical="center"/>
    </xf>
    <xf numFmtId="0" fontId="1" fillId="5" borderId="0" xfId="0" applyFont="1" applyFill="1" applyBorder="1" applyAlignment="1">
      <alignment vertical="center" wrapText="1"/>
    </xf>
    <xf numFmtId="164" fontId="4"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1" fillId="5" borderId="0" xfId="0" applyFont="1" applyFill="1" applyAlignment="1">
      <alignment vertical="center" wrapText="1"/>
    </xf>
    <xf numFmtId="0" fontId="23" fillId="5" borderId="0" xfId="0" applyFont="1" applyFill="1"/>
    <xf numFmtId="0" fontId="1" fillId="5" borderId="0" xfId="0" applyFont="1" applyFill="1" applyAlignment="1">
      <alignment horizontal="center" vertical="center" wrapText="1"/>
    </xf>
    <xf numFmtId="0" fontId="5" fillId="5" borderId="0" xfId="0" applyFont="1" applyFill="1" applyAlignment="1">
      <alignment horizontal="center" vertical="center" wrapText="1"/>
    </xf>
    <xf numFmtId="0" fontId="1" fillId="5" borderId="0" xfId="0" applyFont="1" applyFill="1" applyAlignment="1">
      <alignment horizontal="center" vertical="center"/>
    </xf>
    <xf numFmtId="0" fontId="1" fillId="5" borderId="0" xfId="0" applyFont="1" applyFill="1" applyAlignment="1">
      <alignment vertical="center"/>
    </xf>
    <xf numFmtId="1" fontId="5" fillId="2" borderId="8" xfId="0" applyNumberFormat="1"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2" fontId="4" fillId="3" borderId="2" xfId="0" applyNumberFormat="1" applyFont="1" applyFill="1" applyBorder="1" applyAlignment="1" applyProtection="1">
      <alignment horizontal="center" vertical="center" wrapText="1"/>
      <protection locked="0"/>
    </xf>
    <xf numFmtId="9" fontId="4" fillId="3" borderId="2" xfId="0" applyNumberFormat="1" applyFont="1" applyFill="1" applyBorder="1" applyAlignment="1" applyProtection="1">
      <alignment horizontal="center" vertical="center" wrapText="1"/>
      <protection locked="0"/>
    </xf>
    <xf numFmtId="164" fontId="4" fillId="3" borderId="21" xfId="0" applyNumberFormat="1" applyFont="1" applyFill="1" applyBorder="1" applyAlignment="1" applyProtection="1">
      <alignment horizontal="center" vertical="center" wrapText="1"/>
      <protection locked="0"/>
    </xf>
    <xf numFmtId="2" fontId="5" fillId="2" borderId="3" xfId="0" applyNumberFormat="1" applyFont="1" applyFill="1" applyBorder="1" applyAlignment="1">
      <alignment horizontal="center" vertical="center"/>
    </xf>
    <xf numFmtId="164" fontId="4" fillId="3" borderId="2" xfId="0" applyNumberFormat="1" applyFont="1" applyFill="1" applyBorder="1" applyAlignment="1" applyProtection="1">
      <alignment horizontal="center" vertical="center"/>
      <protection locked="0"/>
    </xf>
    <xf numFmtId="1" fontId="5" fillId="2" borderId="15" xfId="0" applyNumberFormat="1" applyFont="1" applyFill="1" applyBorder="1" applyAlignment="1">
      <alignment horizontal="center"/>
    </xf>
    <xf numFmtId="0" fontId="4" fillId="3" borderId="15" xfId="0" applyFont="1" applyFill="1" applyBorder="1" applyAlignment="1" applyProtection="1">
      <alignment horizontal="center" vertical="center"/>
      <protection locked="0"/>
    </xf>
    <xf numFmtId="164" fontId="4" fillId="3" borderId="22" xfId="0" applyNumberFormat="1" applyFont="1" applyFill="1" applyBorder="1" applyAlignment="1" applyProtection="1">
      <alignment horizontal="center" vertical="center"/>
      <protection locked="0"/>
    </xf>
    <xf numFmtId="0" fontId="17" fillId="0" borderId="0" xfId="0" applyFont="1" applyAlignment="1">
      <alignment horizontal="center" vertical="center" wrapText="1"/>
    </xf>
    <xf numFmtId="0" fontId="17" fillId="0" borderId="0" xfId="0" applyFont="1" applyAlignment="1">
      <alignment horizontal="left" vertical="center" wrapText="1"/>
    </xf>
    <xf numFmtId="0" fontId="1" fillId="0" borderId="0" xfId="0" applyFont="1" applyAlignment="1">
      <alignment horizontal="left" vertical="center" wrapText="1"/>
    </xf>
    <xf numFmtId="0" fontId="5" fillId="0" borderId="5"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0" xfId="0" applyFont="1" applyBorder="1"/>
    <xf numFmtId="166" fontId="0" fillId="0" borderId="0" xfId="0" applyNumberFormat="1" applyBorder="1"/>
    <xf numFmtId="166" fontId="16" fillId="0" borderId="0" xfId="0" applyNumberFormat="1" applyFont="1"/>
    <xf numFmtId="9" fontId="16" fillId="0" borderId="0" xfId="0" applyNumberFormat="1" applyFont="1"/>
    <xf numFmtId="166" fontId="17" fillId="0" borderId="0" xfId="0" applyNumberFormat="1" applyFont="1" applyBorder="1"/>
    <xf numFmtId="0" fontId="16" fillId="0" borderId="0" xfId="0" applyFont="1" applyFill="1" applyBorder="1" applyAlignment="1">
      <alignment horizontal="left"/>
    </xf>
    <xf numFmtId="0" fontId="16" fillId="5" borderId="11" xfId="0" applyFont="1" applyFill="1" applyBorder="1"/>
    <xf numFmtId="0" fontId="16" fillId="5" borderId="12" xfId="0" applyFont="1" applyFill="1" applyBorder="1"/>
    <xf numFmtId="0" fontId="16" fillId="5" borderId="12" xfId="0" applyFont="1" applyFill="1" applyBorder="1" applyAlignment="1">
      <alignment horizontal="center"/>
    </xf>
    <xf numFmtId="0" fontId="16" fillId="0" borderId="11" xfId="0" applyFont="1" applyBorder="1"/>
    <xf numFmtId="0" fontId="16" fillId="0" borderId="12" xfId="0" applyFont="1" applyBorder="1"/>
    <xf numFmtId="164" fontId="16" fillId="4" borderId="13" xfId="0" applyNumberFormat="1" applyFont="1" applyFill="1" applyBorder="1" applyAlignment="1">
      <alignment horizontal="center"/>
    </xf>
    <xf numFmtId="0" fontId="16" fillId="0" borderId="9" xfId="0" applyFont="1" applyBorder="1"/>
    <xf numFmtId="10" fontId="16" fillId="4" borderId="7" xfId="0" applyNumberFormat="1" applyFont="1" applyFill="1" applyBorder="1" applyAlignment="1">
      <alignment horizontal="center"/>
    </xf>
    <xf numFmtId="10" fontId="16" fillId="4" borderId="10" xfId="0" applyNumberFormat="1" applyFont="1" applyFill="1" applyBorder="1" applyAlignment="1">
      <alignment horizontal="center"/>
    </xf>
    <xf numFmtId="0" fontId="16" fillId="0" borderId="9" xfId="0" applyFont="1" applyFill="1" applyBorder="1"/>
    <xf numFmtId="166" fontId="16" fillId="4" borderId="7" xfId="0" applyNumberFormat="1" applyFont="1" applyFill="1" applyBorder="1" applyAlignment="1">
      <alignment horizontal="center"/>
    </xf>
    <xf numFmtId="0" fontId="1" fillId="0" borderId="0"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4" fontId="4" fillId="7" borderId="21" xfId="0" applyNumberFormat="1" applyFont="1" applyFill="1" applyBorder="1" applyAlignment="1" applyProtection="1">
      <alignment horizontal="center" vertical="center" wrapText="1"/>
      <protection locked="0"/>
    </xf>
    <xf numFmtId="164" fontId="5" fillId="6" borderId="2" xfId="0" applyNumberFormat="1" applyFont="1" applyFill="1" applyBorder="1" applyAlignment="1">
      <alignment horizontal="center" vertical="center" wrapText="1"/>
    </xf>
    <xf numFmtId="1" fontId="5" fillId="6" borderId="2" xfId="0" applyNumberFormat="1" applyFont="1" applyFill="1" applyBorder="1" applyAlignment="1">
      <alignment horizontal="center" vertical="center" wrapText="1"/>
    </xf>
    <xf numFmtId="167" fontId="5" fillId="0" borderId="0" xfId="0" applyNumberFormat="1" applyFont="1" applyFill="1" applyBorder="1" applyAlignment="1">
      <alignment horizontal="center" vertical="center" wrapText="1"/>
    </xf>
    <xf numFmtId="1" fontId="5" fillId="6" borderId="1" xfId="0" applyNumberFormat="1" applyFont="1" applyFill="1" applyBorder="1" applyAlignment="1">
      <alignment horizontal="center" vertical="center" wrapText="1"/>
    </xf>
    <xf numFmtId="9" fontId="4" fillId="7" borderId="2" xfId="0" applyNumberFormat="1" applyFont="1" applyFill="1" applyBorder="1" applyAlignment="1" applyProtection="1">
      <alignment horizontal="center" vertical="center" wrapText="1"/>
      <protection locked="0"/>
    </xf>
    <xf numFmtId="167" fontId="5" fillId="6" borderId="2" xfId="0" applyNumberFormat="1" applyFont="1" applyFill="1" applyBorder="1" applyAlignment="1">
      <alignment horizontal="center" vertical="center" wrapText="1"/>
    </xf>
    <xf numFmtId="167" fontId="5" fillId="6" borderId="1"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7" fontId="5" fillId="6" borderId="4" xfId="0" applyNumberFormat="1" applyFont="1" applyFill="1" applyBorder="1" applyAlignment="1">
      <alignment horizontal="center" vertical="center" wrapText="1"/>
    </xf>
    <xf numFmtId="1" fontId="0" fillId="0" borderId="0" xfId="0" applyNumberFormat="1"/>
    <xf numFmtId="0" fontId="27" fillId="0" borderId="0" xfId="0" applyFont="1" applyAlignment="1">
      <alignment vertical="top" wrapText="1"/>
    </xf>
    <xf numFmtId="0" fontId="31" fillId="0" borderId="0" xfId="0" applyFont="1" applyAlignment="1">
      <alignment vertical="center" wrapText="1"/>
    </xf>
    <xf numFmtId="0" fontId="4" fillId="3" borderId="20" xfId="199" applyFont="1" applyFill="1" applyBorder="1" applyAlignment="1" applyProtection="1">
      <alignment horizontal="center" vertical="center" wrapText="1"/>
      <protection locked="0"/>
    </xf>
    <xf numFmtId="0" fontId="1" fillId="0" borderId="0" xfId="0" quotePrefix="1" applyFont="1" applyAlignment="1">
      <alignment vertical="center"/>
    </xf>
    <xf numFmtId="0" fontId="4" fillId="8" borderId="20" xfId="199" applyFont="1" applyFill="1" applyBorder="1" applyAlignment="1" applyProtection="1">
      <alignment horizontal="center" vertical="center" wrapText="1"/>
      <protection locked="0"/>
    </xf>
    <xf numFmtId="1" fontId="5" fillId="8" borderId="15"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2" fontId="31" fillId="0" borderId="0" xfId="0" applyNumberFormat="1" applyFont="1"/>
    <xf numFmtId="0" fontId="16" fillId="0" borderId="0" xfId="0" applyFont="1" applyAlignment="1">
      <alignment vertical="center" wrapText="1"/>
    </xf>
    <xf numFmtId="164" fontId="0" fillId="0" borderId="0" xfId="0" applyNumberFormat="1"/>
    <xf numFmtId="164" fontId="5" fillId="2" borderId="3" xfId="0" applyNumberFormat="1" applyFont="1" applyFill="1" applyBorder="1" applyAlignment="1">
      <alignment horizontal="center" vertical="center" wrapText="1"/>
    </xf>
    <xf numFmtId="9" fontId="4" fillId="9" borderId="2" xfId="0" applyNumberFormat="1" applyFont="1" applyFill="1" applyBorder="1" applyAlignment="1" applyProtection="1">
      <alignment horizontal="center" vertical="center" wrapText="1"/>
      <protection locked="0"/>
    </xf>
    <xf numFmtId="1" fontId="4" fillId="9" borderId="2" xfId="0" applyNumberFormat="1" applyFont="1" applyFill="1" applyBorder="1" applyAlignment="1" applyProtection="1">
      <alignment horizontal="center" vertical="center" wrapText="1"/>
      <protection locked="0"/>
    </xf>
    <xf numFmtId="2" fontId="4" fillId="9" borderId="2" xfId="0" applyNumberFormat="1" applyFont="1" applyFill="1" applyBorder="1" applyAlignment="1" applyProtection="1">
      <alignment horizontal="center" vertical="center" wrapText="1"/>
      <protection locked="0"/>
    </xf>
    <xf numFmtId="0" fontId="4" fillId="9" borderId="2" xfId="0" applyFont="1" applyFill="1" applyBorder="1" applyAlignment="1">
      <alignment horizontal="center" vertical="center" wrapText="1"/>
    </xf>
    <xf numFmtId="1" fontId="4" fillId="9" borderId="2" xfId="0" applyNumberFormat="1" applyFont="1" applyFill="1" applyBorder="1" applyAlignment="1">
      <alignment horizontal="center" vertical="center" wrapText="1"/>
    </xf>
    <xf numFmtId="164" fontId="4" fillId="9" borderId="2" xfId="0" applyNumberFormat="1" applyFont="1" applyFill="1" applyBorder="1" applyAlignment="1">
      <alignment horizontal="center" vertical="center" wrapText="1"/>
    </xf>
    <xf numFmtId="0" fontId="37" fillId="0" borderId="0" xfId="0" applyFont="1" applyAlignment="1">
      <alignment horizontal="left" vertical="center" wrapText="1"/>
    </xf>
    <xf numFmtId="1" fontId="1" fillId="0" borderId="0" xfId="0" applyNumberFormat="1" applyFont="1" applyAlignment="1">
      <alignment vertical="center" wrapText="1"/>
    </xf>
    <xf numFmtId="0" fontId="1" fillId="0" borderId="0" xfId="0" applyNumberFormat="1" applyFont="1" applyAlignment="1">
      <alignment vertical="center" wrapText="1"/>
    </xf>
    <xf numFmtId="1" fontId="1" fillId="0" borderId="0" xfId="0" applyNumberFormat="1" applyFont="1" applyAlignment="1">
      <alignment vertical="center"/>
    </xf>
    <xf numFmtId="2" fontId="4" fillId="8" borderId="2" xfId="0" quotePrefix="1" applyNumberFormat="1" applyFont="1" applyFill="1" applyBorder="1" applyAlignment="1" applyProtection="1">
      <alignment horizontal="center" vertical="center" wrapText="1"/>
      <protection locked="0"/>
    </xf>
    <xf numFmtId="2" fontId="4" fillId="0" borderId="2" xfId="0" quotePrefix="1" applyNumberFormat="1" applyFont="1" applyFill="1" applyBorder="1" applyAlignment="1" applyProtection="1">
      <alignment horizontal="center" vertical="center" wrapText="1"/>
      <protection locked="0"/>
    </xf>
    <xf numFmtId="0" fontId="0" fillId="0" borderId="0" xfId="0" applyFill="1"/>
    <xf numFmtId="164" fontId="4" fillId="0"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1" fontId="4" fillId="0" borderId="2" xfId="0" quotePrefix="1" applyNumberFormat="1" applyFont="1" applyFill="1" applyBorder="1" applyAlignment="1" applyProtection="1">
      <alignment horizontal="center" vertical="center" wrapText="1"/>
      <protection locked="0"/>
    </xf>
    <xf numFmtId="1" fontId="4" fillId="0" borderId="0" xfId="0" quotePrefix="1" applyNumberFormat="1" applyFont="1" applyFill="1" applyBorder="1" applyAlignment="1" applyProtection="1">
      <alignment horizontal="center" vertical="center" wrapText="1"/>
      <protection locked="0"/>
    </xf>
    <xf numFmtId="0" fontId="0" fillId="0" borderId="0" xfId="0" applyAlignment="1">
      <alignment horizontal="center" wrapText="1"/>
    </xf>
    <xf numFmtId="0" fontId="16" fillId="0" borderId="0" xfId="0" applyFont="1" applyAlignment="1">
      <alignment horizontal="center" wrapText="1"/>
    </xf>
    <xf numFmtId="49" fontId="17" fillId="0" borderId="0" xfId="2" applyNumberFormat="1" applyFill="1" applyBorder="1" applyAlignment="1">
      <alignment horizontal="left" vertical="center"/>
    </xf>
    <xf numFmtId="49" fontId="17" fillId="0" borderId="0" xfId="2" applyNumberFormat="1" applyFont="1" applyFill="1" applyBorder="1" applyAlignment="1">
      <alignment horizontal="left" vertical="center"/>
    </xf>
    <xf numFmtId="0" fontId="0" fillId="0" borderId="0" xfId="0" applyAlignment="1">
      <alignment horizontal="left"/>
    </xf>
    <xf numFmtId="0" fontId="17" fillId="0" borderId="0" xfId="2" applyNumberFormat="1" applyFont="1" applyFill="1" applyBorder="1" applyAlignment="1">
      <alignment horizontal="left" vertical="center"/>
    </xf>
    <xf numFmtId="0" fontId="28" fillId="0" borderId="0" xfId="200"/>
    <xf numFmtId="0" fontId="16" fillId="0" borderId="11" xfId="0" applyFont="1" applyFill="1" applyBorder="1"/>
    <xf numFmtId="0" fontId="0" fillId="0" borderId="12" xfId="0" applyFill="1" applyBorder="1"/>
    <xf numFmtId="0" fontId="0" fillId="0" borderId="26" xfId="0" applyFill="1" applyBorder="1"/>
    <xf numFmtId="0" fontId="0" fillId="0" borderId="0" xfId="0" applyFill="1" applyBorder="1"/>
    <xf numFmtId="0" fontId="0" fillId="0" borderId="25" xfId="0" applyFill="1" applyBorder="1"/>
    <xf numFmtId="0" fontId="3" fillId="0" borderId="2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9" xfId="0" applyFill="1" applyBorder="1"/>
    <xf numFmtId="0" fontId="39" fillId="0" borderId="0" xfId="0" applyFont="1"/>
    <xf numFmtId="9" fontId="1" fillId="0" borderId="0" xfId="0" applyNumberFormat="1" applyFont="1" applyAlignment="1">
      <alignment vertical="center" wrapText="1"/>
    </xf>
    <xf numFmtId="0" fontId="4" fillId="0" borderId="1" xfId="0" applyFont="1" applyFill="1" applyBorder="1" applyAlignment="1">
      <alignment horizontal="center" vertical="center" wrapText="1"/>
    </xf>
    <xf numFmtId="1" fontId="4" fillId="9" borderId="29" xfId="0" applyNumberFormat="1" applyFont="1" applyFill="1" applyBorder="1" applyAlignment="1">
      <alignment horizontal="center" vertical="center" wrapText="1"/>
    </xf>
    <xf numFmtId="0" fontId="30" fillId="0" borderId="24" xfId="0" applyNumberFormat="1"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21" fillId="0" borderId="0" xfId="0" applyFont="1" applyAlignment="1">
      <alignment horizontal="center" vertical="center" wrapText="1"/>
    </xf>
    <xf numFmtId="0" fontId="24" fillId="5" borderId="0" xfId="0" applyFont="1" applyFill="1" applyAlignment="1">
      <alignment horizontal="left" vertical="center"/>
    </xf>
    <xf numFmtId="0" fontId="22" fillId="5" borderId="0" xfId="0" applyFont="1" applyFill="1" applyAlignment="1">
      <alignment horizontal="left" vertical="center"/>
    </xf>
    <xf numFmtId="0" fontId="23" fillId="0" borderId="0" xfId="0" applyFont="1" applyAlignment="1">
      <alignment vertical="center"/>
    </xf>
    <xf numFmtId="0" fontId="24" fillId="5" borderId="0" xfId="0" applyFont="1" applyFill="1" applyAlignment="1">
      <alignment horizontal="left" vertical="center" wrapText="1"/>
    </xf>
    <xf numFmtId="0" fontId="24" fillId="5" borderId="23" xfId="0" applyFont="1" applyFill="1" applyBorder="1" applyAlignment="1">
      <alignment horizontal="left" vertical="center"/>
    </xf>
    <xf numFmtId="0" fontId="23" fillId="0" borderId="23" xfId="0" applyFont="1" applyBorder="1" applyAlignment="1">
      <alignment vertical="center"/>
    </xf>
    <xf numFmtId="0" fontId="24" fillId="5" borderId="0" xfId="0" applyFont="1" applyFill="1" applyBorder="1" applyAlignment="1">
      <alignment horizontal="left" vertical="center"/>
    </xf>
    <xf numFmtId="0" fontId="27" fillId="0" borderId="0" xfId="0" applyFont="1" applyFill="1" applyAlignment="1">
      <alignment horizontal="center" vertical="top" wrapText="1"/>
    </xf>
    <xf numFmtId="0" fontId="16" fillId="0" borderId="0" xfId="0" applyFont="1" applyFill="1" applyAlignment="1">
      <alignment horizontal="center"/>
    </xf>
    <xf numFmtId="0" fontId="0" fillId="0" borderId="0" xfId="0" applyFill="1" applyAlignment="1">
      <alignment horizontal="center"/>
    </xf>
    <xf numFmtId="0" fontId="0" fillId="0" borderId="28" xfId="0" applyFill="1" applyBorder="1" applyAlignment="1">
      <alignment horizontal="center"/>
    </xf>
  </cellXfs>
  <cellStyles count="201">
    <cellStyle name="Comma 2" xfId="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200" builtinId="8"/>
    <cellStyle name="Normal" xfId="0" builtinId="0"/>
    <cellStyle name="Normal 2" xfId="2"/>
    <cellStyle name="Normal 3" xfId="199"/>
  </cellStyles>
  <dxfs count="35">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9C0006"/>
      </font>
    </dxf>
    <dxf>
      <font>
        <color rgb="FF9C0006"/>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9C0006"/>
      </font>
    </dxf>
    <dxf>
      <font>
        <condense val="0"/>
        <extend val="0"/>
        <color indexed="10"/>
      </font>
    </dxf>
    <dxf>
      <font>
        <condense val="0"/>
        <extend val="0"/>
        <color indexed="10"/>
      </font>
    </dxf>
    <dxf>
      <font>
        <color rgb="FF9C0006"/>
      </font>
    </dxf>
    <dxf>
      <font>
        <condense val="0"/>
        <extend val="0"/>
        <color indexed="10"/>
      </font>
    </dxf>
    <dxf>
      <font>
        <condense val="0"/>
        <extend val="0"/>
        <color indexed="10"/>
      </font>
    </dxf>
    <dxf>
      <font>
        <condense val="0"/>
        <extend val="0"/>
        <color indexed="10"/>
      </font>
    </dxf>
    <dxf>
      <font>
        <condense val="0"/>
        <extend val="0"/>
        <color indexed="10"/>
      </font>
    </dxf>
    <dxf>
      <font>
        <color rgb="FF9C0006"/>
      </font>
    </dxf>
    <dxf>
      <font>
        <condense val="0"/>
        <extend val="0"/>
        <color indexed="10"/>
      </font>
    </dxf>
  </dxfs>
  <tableStyles count="0" defaultTableStyle="TableStyleMedium9" defaultPivotStyle="PivotStyleMedium4"/>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705616/Local%20Settings/Temporary%20Internet%20Files/Content.IE5/8RATUDEF/Macintosh%20HDDOCUME~1/us705616/LOCALS~1/Temp/notesBAAA25/Web%20Downloads/acid-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hillesheim/Downloads/Palmers_Mash_RA_ver3p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6">
          <cell r="I6" t="str">
            <v>lactic</v>
          </cell>
        </row>
        <row r="7">
          <cell r="I7" t="str">
            <v>phosphoric</v>
          </cell>
        </row>
        <row r="8">
          <cell r="I8" t="str">
            <v>hydrochloric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h"/>
      <sheetName val="Scratch"/>
      <sheetName val="Sheet1"/>
    </sheetNames>
    <sheetDataSet>
      <sheetData sheetId="0" refreshError="1"/>
      <sheetData sheetId="1" refreshError="1"/>
      <sheetData sheetId="2">
        <row r="7">
          <cell r="J7" t="str">
            <v>Alkalinity as CaCO3</v>
          </cell>
        </row>
        <row r="8">
          <cell r="J8" t="str">
            <v>Bicarbonate (ppm)</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lenntech.com/ro/water-hardnes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79"/>
  <sheetViews>
    <sheetView tabSelected="1" zoomScale="90" zoomScaleNormal="90" workbookViewId="0"/>
  </sheetViews>
  <sheetFormatPr defaultColWidth="13.375" defaultRowHeight="12" x14ac:dyDescent="0.2"/>
  <cols>
    <col min="1" max="1" width="2.625" style="3" customWidth="1"/>
    <col min="2" max="2" width="13.125" style="4" customWidth="1"/>
    <col min="3" max="3" width="9.125" style="3" customWidth="1"/>
    <col min="4" max="4" width="10.125" style="3" customWidth="1"/>
    <col min="5" max="5" width="11.5" style="3" customWidth="1"/>
    <col min="6" max="6" width="9.125" style="4" customWidth="1"/>
    <col min="7" max="7" width="10.625" style="4" bestFit="1" customWidth="1"/>
    <col min="8" max="8" width="9.625" style="4" customWidth="1"/>
    <col min="9" max="9" width="15.125" style="4" bestFit="1" customWidth="1"/>
    <col min="10" max="10" width="10.25" style="4" customWidth="1"/>
    <col min="11" max="12" width="10.625" style="3" customWidth="1"/>
    <col min="13" max="13" width="10.75" style="3" customWidth="1"/>
    <col min="14" max="14" width="9.125" style="3" customWidth="1"/>
    <col min="15" max="15" width="15.125" style="3" bestFit="1" customWidth="1"/>
    <col min="16" max="16384" width="13.375" style="3"/>
  </cols>
  <sheetData>
    <row r="1" spans="2:21" ht="14.25" customHeight="1" x14ac:dyDescent="0.4">
      <c r="B1" s="173" t="s">
        <v>238</v>
      </c>
      <c r="C1" s="173"/>
      <c r="D1" s="173"/>
      <c r="E1" s="173"/>
      <c r="F1" s="173"/>
      <c r="G1" s="173"/>
      <c r="H1" s="173"/>
      <c r="I1" s="127"/>
      <c r="J1" s="19"/>
      <c r="K1" s="18" t="s">
        <v>5</v>
      </c>
      <c r="M1" s="126"/>
      <c r="N1" s="119"/>
    </row>
    <row r="2" spans="2:21" x14ac:dyDescent="0.2">
      <c r="B2" s="173"/>
      <c r="C2" s="173"/>
      <c r="D2" s="173"/>
      <c r="E2" s="173"/>
      <c r="F2" s="173"/>
      <c r="G2" s="173"/>
      <c r="H2" s="173"/>
      <c r="J2" s="17"/>
      <c r="K2" s="18" t="s">
        <v>6</v>
      </c>
    </row>
    <row r="3" spans="2:21" s="1" customFormat="1" x14ac:dyDescent="0.2">
      <c r="B3" s="177" t="s">
        <v>163</v>
      </c>
      <c r="C3" s="176"/>
      <c r="D3" s="176"/>
      <c r="E3" s="176"/>
      <c r="F3" s="176"/>
      <c r="G3" s="176"/>
      <c r="H3" s="176"/>
      <c r="I3" s="176"/>
      <c r="J3" s="71"/>
      <c r="K3" s="72"/>
      <c r="L3" s="72"/>
      <c r="M3" s="72"/>
      <c r="N3" s="72"/>
      <c r="O3" s="72"/>
    </row>
    <row r="4" spans="2:21" s="1" customFormat="1" ht="35.1" customHeight="1" thickBot="1" x14ac:dyDescent="0.25">
      <c r="B4" s="176"/>
      <c r="C4" s="176"/>
      <c r="D4" s="176"/>
      <c r="E4" s="176"/>
      <c r="F4" s="176"/>
      <c r="G4" s="176"/>
      <c r="H4" s="176"/>
      <c r="I4" s="176"/>
      <c r="J4" s="71"/>
      <c r="K4" s="72"/>
      <c r="L4" s="72"/>
      <c r="M4" s="72"/>
      <c r="N4" s="72"/>
      <c r="O4" s="72"/>
    </row>
    <row r="5" spans="2:21" s="1" customFormat="1" ht="36" customHeight="1" thickBot="1" x14ac:dyDescent="0.25">
      <c r="B5" s="52" t="s">
        <v>63</v>
      </c>
      <c r="C5" s="52" t="s">
        <v>71</v>
      </c>
      <c r="D5" s="52" t="s">
        <v>70</v>
      </c>
      <c r="F5" s="52" t="s">
        <v>124</v>
      </c>
      <c r="G5" s="52" t="s">
        <v>161</v>
      </c>
    </row>
    <row r="6" spans="2:21" s="1" customFormat="1" ht="18" customHeight="1" thickBot="1" x14ac:dyDescent="0.25">
      <c r="B6" s="81">
        <v>17</v>
      </c>
      <c r="C6" s="80">
        <f>B6*12.2-122.4</f>
        <v>84.999999999999972</v>
      </c>
      <c r="D6" s="57">
        <f>(B6-5.2)*12.2</f>
        <v>143.96</v>
      </c>
      <c r="F6" s="81">
        <v>59.8</v>
      </c>
      <c r="G6" s="81">
        <f>26+13</f>
        <v>39</v>
      </c>
    </row>
    <row r="7" spans="2:21" s="1" customFormat="1" ht="9" customHeight="1" thickBot="1" x14ac:dyDescent="0.25">
      <c r="B7" s="49"/>
      <c r="C7" s="50"/>
      <c r="D7" s="51"/>
      <c r="F7" s="2"/>
      <c r="G7" s="2"/>
      <c r="H7" s="2"/>
      <c r="I7" s="2"/>
      <c r="J7" s="2"/>
      <c r="T7" s="84"/>
      <c r="U7" s="84"/>
    </row>
    <row r="8" spans="2:21" ht="38.25" thickBot="1" x14ac:dyDescent="0.25">
      <c r="B8" s="53" t="s">
        <v>52</v>
      </c>
      <c r="C8" s="54" t="s">
        <v>135</v>
      </c>
      <c r="D8" s="54" t="s">
        <v>136</v>
      </c>
      <c r="E8" s="54" t="s">
        <v>154</v>
      </c>
      <c r="F8" s="54" t="s">
        <v>137</v>
      </c>
      <c r="G8" s="54" t="s">
        <v>138</v>
      </c>
      <c r="H8" s="54" t="s">
        <v>139</v>
      </c>
      <c r="I8" s="48" t="s">
        <v>88</v>
      </c>
      <c r="K8" s="48" t="s">
        <v>75</v>
      </c>
      <c r="L8" s="48" t="s">
        <v>140</v>
      </c>
      <c r="M8" s="52" t="s">
        <v>62</v>
      </c>
      <c r="N8" s="48" t="s">
        <v>69</v>
      </c>
      <c r="O8" s="48" t="s">
        <v>88</v>
      </c>
      <c r="T8" s="84"/>
      <c r="U8" s="84"/>
    </row>
    <row r="9" spans="2:21" ht="18" customHeight="1" thickTop="1" thickBot="1" x14ac:dyDescent="0.25">
      <c r="B9" s="55" t="s">
        <v>51</v>
      </c>
      <c r="C9" s="120">
        <v>60</v>
      </c>
      <c r="D9" s="120">
        <v>1</v>
      </c>
      <c r="E9" s="22">
        <f>IF(E8="Bicarbonate",(61/50)*K9,K9)+(7*C6+3*D6)/10</f>
        <v>146.13337815126047</v>
      </c>
      <c r="F9" s="122">
        <v>3</v>
      </c>
      <c r="G9" s="120">
        <v>80</v>
      </c>
      <c r="H9" s="22">
        <f>G9*LOOKUP(I9,Scratch!D39:E50)</f>
        <v>48</v>
      </c>
      <c r="I9" s="123" t="s">
        <v>104</v>
      </c>
      <c r="J9" s="5"/>
      <c r="K9" s="56">
        <f>(C9/1.4)+(D9/1.7)</f>
        <v>43.445378151260506</v>
      </c>
      <c r="L9" s="56">
        <f>IF(E8="Bicarbonate",(50*E9/61),E9)-K9</f>
        <v>102.68799999999996</v>
      </c>
      <c r="M9" s="56">
        <f>IF(L9&lt;-69,0,L9*0.082+5.2)</f>
        <v>13.620415999999999</v>
      </c>
      <c r="N9" s="57">
        <f>IF(L9&lt;-128,0,(L9+122.4)/12.2)</f>
        <v>18.44983606557377</v>
      </c>
      <c r="O9" s="57" t="str">
        <f>VLOOKUP(H9/G9,Scratch!A39:B51,2,TRUE)</f>
        <v>Malty</v>
      </c>
      <c r="T9" s="84"/>
      <c r="U9" s="84"/>
    </row>
    <row r="10" spans="2:21" ht="36" customHeight="1" thickBot="1" x14ac:dyDescent="0.2">
      <c r="B10" s="178" t="s">
        <v>162</v>
      </c>
      <c r="C10" s="179"/>
      <c r="D10" s="179"/>
      <c r="E10" s="179"/>
      <c r="F10" s="179"/>
      <c r="G10" s="179"/>
      <c r="H10" s="179"/>
      <c r="I10" s="69"/>
      <c r="J10" s="69"/>
      <c r="K10" s="67"/>
      <c r="L10" s="67"/>
      <c r="M10" s="68"/>
      <c r="N10" s="67"/>
      <c r="O10" s="67"/>
      <c r="T10" s="85"/>
      <c r="U10" s="85"/>
    </row>
    <row r="11" spans="2:21" s="4" customFormat="1" ht="39" thickTop="1" thickBot="1" x14ac:dyDescent="0.25">
      <c r="B11" s="76" t="s">
        <v>121</v>
      </c>
      <c r="C11" s="7" t="s">
        <v>135</v>
      </c>
      <c r="D11" s="7" t="s">
        <v>136</v>
      </c>
      <c r="E11" s="54" t="s">
        <v>154</v>
      </c>
      <c r="F11" s="7" t="s">
        <v>137</v>
      </c>
      <c r="G11" s="7" t="s">
        <v>138</v>
      </c>
      <c r="H11" s="7" t="s">
        <v>139</v>
      </c>
      <c r="I11" s="7" t="s">
        <v>45</v>
      </c>
      <c r="J11" s="8"/>
      <c r="K11" s="9" t="s">
        <v>75</v>
      </c>
      <c r="L11" s="20" t="s">
        <v>140</v>
      </c>
      <c r="M11" s="21" t="s">
        <v>62</v>
      </c>
      <c r="N11" s="9" t="s">
        <v>69</v>
      </c>
      <c r="O11" s="9" t="s">
        <v>89</v>
      </c>
      <c r="T11" s="84"/>
      <c r="U11" s="84"/>
    </row>
    <row r="12" spans="2:21" s="8" customFormat="1" ht="18" customHeight="1" thickTop="1" thickBot="1" x14ac:dyDescent="0.25">
      <c r="B12" s="10" t="s">
        <v>51</v>
      </c>
      <c r="C12" s="133">
        <f ca="1">INDIRECT("'Water Profiles'!E"&amp;MATCH($B$11,'Water Profiles'!$A$1:$A$40,0))</f>
        <v>20</v>
      </c>
      <c r="D12" s="134">
        <f ca="1">INDIRECT("'Water Profiles'!F"&amp;MATCH($B$11,'Water Profiles'!$A$1:$A$40,0))</f>
        <v>1</v>
      </c>
      <c r="E12" s="134">
        <f ca="1">INDIRECT("'Water Profiles'!"&amp;IF(E11="Bicarbonate","I","K")&amp;MATCH($B$11,'Water Profiles'!$A$1:$A$40,0))</f>
        <v>53</v>
      </c>
      <c r="F12" s="134">
        <f ca="1">INDIRECT("'Water Profiles'!D"&amp;MATCH($B$11,'Water Profiles'!$A$1:$A$40,0))</f>
        <v>5</v>
      </c>
      <c r="G12" s="134">
        <f ca="1">INDIRECT("'Water Profiles'!G"&amp;MATCH($B$11,'Water Profiles'!$A$1:$A$40,0))</f>
        <v>5</v>
      </c>
      <c r="H12" s="134">
        <f ca="1">INDIRECT("'Water Profiles'!H"&amp;MATCH($B$11,'Water Profiles'!$A$1:$A$40,0))</f>
        <v>1</v>
      </c>
      <c r="I12" s="135">
        <f ca="1">INDIRECT("'Water Profiles'!C"&amp;MATCH($B$11,'Water Profiles'!$A$1:$A$40,0))</f>
        <v>8.4</v>
      </c>
      <c r="J12" s="11"/>
      <c r="K12" s="22">
        <f ca="1">(C12/1.4)+(D12/1.7)</f>
        <v>14.873949579831933</v>
      </c>
      <c r="L12" s="73">
        <f ca="1">IF(E11="Bicarbonate",(50*E12/61),E12)-K12</f>
        <v>38.12605042016807</v>
      </c>
      <c r="M12" s="22">
        <f ca="1">IF(L12&lt;-69,0,L12*0.082+5.2)</f>
        <v>8.3263361344537827</v>
      </c>
      <c r="N12" s="47">
        <f ca="1">IF(L12&lt;-128,0,(L12+122.4)/12.2)</f>
        <v>13.157872985259679</v>
      </c>
      <c r="O12" s="47" t="str">
        <f ca="1">VLOOKUP(H12/G12,Scratch!A39:B51, 2, TRUE)</f>
        <v>Too Malty</v>
      </c>
      <c r="T12" s="84"/>
      <c r="U12" s="84"/>
    </row>
    <row r="13" spans="2:21" s="8" customFormat="1" ht="36" customHeight="1" thickTop="1" thickBot="1" x14ac:dyDescent="0.25">
      <c r="B13" s="180" t="s">
        <v>164</v>
      </c>
      <c r="C13" s="180"/>
      <c r="D13" s="180"/>
      <c r="E13" s="180"/>
      <c r="F13" s="180"/>
      <c r="G13" s="180"/>
      <c r="H13" s="180"/>
      <c r="I13" s="180"/>
      <c r="J13" s="180"/>
      <c r="K13" s="67"/>
      <c r="L13" s="67"/>
      <c r="M13" s="67"/>
      <c r="N13" s="67"/>
      <c r="O13" s="67"/>
      <c r="T13" s="84"/>
      <c r="U13" s="84"/>
    </row>
    <row r="14" spans="2:21" s="8" customFormat="1" ht="39" thickTop="1" thickBot="1" x14ac:dyDescent="0.25">
      <c r="B14" s="6" t="s">
        <v>1</v>
      </c>
      <c r="C14" s="9" t="s">
        <v>135</v>
      </c>
      <c r="D14" s="9" t="s">
        <v>136</v>
      </c>
      <c r="E14" s="9" t="str">
        <f>E11</f>
        <v>Alkalinity as CaCO3</v>
      </c>
      <c r="F14" s="9" t="s">
        <v>137</v>
      </c>
      <c r="G14" s="9" t="s">
        <v>138</v>
      </c>
      <c r="H14" s="9" t="s">
        <v>139</v>
      </c>
      <c r="I14" s="7" t="s">
        <v>122</v>
      </c>
      <c r="K14" s="9" t="s">
        <v>75</v>
      </c>
      <c r="L14" s="20" t="s">
        <v>140</v>
      </c>
      <c r="M14" s="21" t="s">
        <v>62</v>
      </c>
      <c r="N14" s="9" t="s">
        <v>69</v>
      </c>
      <c r="O14" s="9" t="s">
        <v>89</v>
      </c>
      <c r="T14" s="84"/>
      <c r="U14" s="84"/>
    </row>
    <row r="15" spans="2:21" s="8" customFormat="1" ht="18" customHeight="1" thickTop="1" thickBot="1" x14ac:dyDescent="0.25">
      <c r="B15" s="130">
        <f ca="1">IF(I15="No Dilution",0,IF((IF(E8="Bicarbonate",(E9*50/61),E9)-IF(E11="Bicarbonate",(E12*50/61),E12))/(INDIRECT("'Water Profiles'!K"&amp;MATCH($I$15,'Water Profiles'!$A$1:$A$40,0))-IF(E11="Bicarbonate",(E12*50/61),E12))&lt;0,0,IF((IF(E8="Bicarbonate",(E9*50/61),E9)-IF(E11="Bicarbonate",(E12*50/61),E12))/(INDIRECT("'Water Profiles'!K"&amp;MATCH($I$15,'Water Profiles'!$A$1:$A$40,0))-IF(E11="Bicarbonate",(E12*50/61),E12))&gt;1,1,(IF(E8="Bicarbonate",(E9*50/61),E9)-IF(E11="Bicarbonate",(E12*50/61),E12))/(INDIRECT("'Water Profiles'!K"&amp;MATCH($I$15,'Water Profiles'!$A$1:$A$40,0))-IF(E11="Bicarbonate",(E12*50/61),E12)))))</f>
        <v>0</v>
      </c>
      <c r="C15" s="22">
        <f ca="1">(1-$B15)*C12+INDIRECT("'Water Profiles'!E"&amp;MATCH($I$15,'Water Profiles'!$A$1:$A$40,0))*$B$15</f>
        <v>20</v>
      </c>
      <c r="D15" s="22">
        <f ca="1">(1-$B15)*D12+INDIRECT("'Water Profiles'!F"&amp;MATCH($I$15,'Water Profiles'!$A$1:$A$40,0))*$B$15</f>
        <v>1</v>
      </c>
      <c r="E15" s="22">
        <f ca="1">(1-$B15)*E12+INDIRECT("'Water Profiles'!K"&amp;MATCH($I$15,'Water Profiles'!$A$1:$A$40,0))*$B$15</f>
        <v>53</v>
      </c>
      <c r="F15" s="22">
        <f ca="1">(1-$B15)*F12+INDIRECT("'Water Profiles'!D"&amp;MATCH($I$15,'Water Profiles'!$A$1:$A$40,0))*$B$15</f>
        <v>5</v>
      </c>
      <c r="G15" s="22">
        <f ca="1">(1-$B15)*G12+INDIRECT("'Water Profiles'!G"&amp;MATCH($I$15,'Water Profiles'!$A$1:$A$40,0))*$B$15</f>
        <v>5</v>
      </c>
      <c r="H15" s="22">
        <f ca="1">(1-$B15)*H12+INDIRECT("'Water Profiles'!H"&amp;MATCH($I$15,'Water Profiles'!$A$1:$A$40,0))*$B$15</f>
        <v>1</v>
      </c>
      <c r="I15" s="76" t="s">
        <v>180</v>
      </c>
      <c r="J15" s="11"/>
      <c r="K15" s="22">
        <f ca="1">(C15/1.4)+(D15/1.7)</f>
        <v>14.873949579831933</v>
      </c>
      <c r="L15" s="73">
        <f ca="1">IF(E14="Bicarbonate",(50*E15/61),E15)-K15</f>
        <v>38.12605042016807</v>
      </c>
      <c r="M15" s="22">
        <f ca="1">IF(L15&lt;-69,0,L15*0.082+5.2)</f>
        <v>8.3263361344537827</v>
      </c>
      <c r="N15" s="47">
        <f ca="1">IF(L15&lt;-128,0,(L15+122.4)/12.2)</f>
        <v>13.157872985259679</v>
      </c>
      <c r="O15" s="47" t="str">
        <f ca="1">VLOOKUP(H15/G15,Scratch!A39:B51, 2, TRUE)</f>
        <v>Too Malty</v>
      </c>
      <c r="T15" s="84"/>
      <c r="U15" s="84"/>
    </row>
    <row r="16" spans="2:21" ht="54" customHeight="1" thickTop="1" thickBot="1" x14ac:dyDescent="0.25">
      <c r="B16" s="9" t="s">
        <v>8</v>
      </c>
      <c r="C16" s="9" t="s">
        <v>153</v>
      </c>
      <c r="D16" s="9" t="s">
        <v>125</v>
      </c>
      <c r="E16" s="9" t="s">
        <v>9</v>
      </c>
      <c r="F16" s="9" t="s">
        <v>53</v>
      </c>
      <c r="G16" s="21" t="s">
        <v>64</v>
      </c>
      <c r="H16" s="9" t="s">
        <v>68</v>
      </c>
      <c r="I16" s="3"/>
      <c r="J16" s="137"/>
      <c r="K16" s="137"/>
      <c r="L16" s="168"/>
      <c r="S16" s="83"/>
      <c r="T16" s="83"/>
    </row>
    <row r="17" spans="2:21" ht="18" customHeight="1" thickBot="1" x14ac:dyDescent="0.2">
      <c r="B17" s="47">
        <f>(7*C6+3*D6)/10</f>
        <v>102.68799999999996</v>
      </c>
      <c r="C17" s="124">
        <f ca="1">(1-B15)*F6</f>
        <v>59.8</v>
      </c>
      <c r="D17" s="124">
        <f ca="1">(B15)*F6</f>
        <v>0</v>
      </c>
      <c r="E17" s="22">
        <f ca="1">IF(L15&gt;B17,(IF(E14="Bicarbonate",(50*E15/61),E15)-B17)-K15,0)</f>
        <v>0</v>
      </c>
      <c r="F17" s="22">
        <f ca="1">IF(L15&lt;B17,B17-L15,0)</f>
        <v>64.561949579831889</v>
      </c>
      <c r="G17" s="22">
        <f>IF(B17&lt;-69,0,B17*0.082+5.2)</f>
        <v>13.620415999999999</v>
      </c>
      <c r="H17" s="47">
        <f>IF(B17&lt;-128,0,(B17+122.4)/12.2)</f>
        <v>18.44983606557377</v>
      </c>
      <c r="I17" s="3"/>
      <c r="J17" s="3"/>
      <c r="O17" s="59"/>
      <c r="P17" s="59"/>
      <c r="Q17" s="59"/>
      <c r="R17" s="59"/>
      <c r="S17" s="83"/>
      <c r="T17" s="83"/>
    </row>
    <row r="18" spans="2:21" ht="36" customHeight="1" thickBot="1" x14ac:dyDescent="0.25">
      <c r="B18" s="174" t="s">
        <v>165</v>
      </c>
      <c r="C18" s="175"/>
      <c r="D18" s="175"/>
      <c r="E18" s="175"/>
      <c r="F18" s="175"/>
      <c r="G18" s="175"/>
      <c r="H18" s="175"/>
      <c r="I18" s="69"/>
      <c r="J18" s="70"/>
      <c r="K18" s="67"/>
      <c r="L18" s="67"/>
      <c r="M18" s="67"/>
      <c r="T18" s="83"/>
      <c r="U18" s="83"/>
    </row>
    <row r="19" spans="2:21" ht="54" customHeight="1" thickTop="1" thickBot="1" x14ac:dyDescent="0.25">
      <c r="B19" s="12" t="s">
        <v>54</v>
      </c>
      <c r="C19" s="7" t="s">
        <v>128</v>
      </c>
      <c r="D19" s="13" t="s">
        <v>129</v>
      </c>
      <c r="E19" s="7" t="s">
        <v>130</v>
      </c>
      <c r="F19" s="7" t="s">
        <v>131</v>
      </c>
      <c r="G19" s="7" t="s">
        <v>132</v>
      </c>
      <c r="H19" s="7" t="s">
        <v>117</v>
      </c>
      <c r="I19" s="7" t="s">
        <v>133</v>
      </c>
      <c r="J19" s="7" t="s">
        <v>134</v>
      </c>
      <c r="O19" s="136"/>
      <c r="T19" s="83"/>
      <c r="U19" s="83"/>
    </row>
    <row r="20" spans="2:21" ht="18.95" customHeight="1" thickTop="1" thickBot="1" x14ac:dyDescent="0.25">
      <c r="B20" s="7" t="s">
        <v>74</v>
      </c>
      <c r="C20" s="140"/>
      <c r="D20" s="132">
        <f ca="1">IF(H9-H15&gt;0,((H9-H15)/1000*G6)/(Scratch!T10/Scratch!K10),0)</f>
        <v>3.2852515921909253</v>
      </c>
      <c r="E20" s="132">
        <f ca="1">IF(G9-G15&gt;0,((G9-G15)/1000*G6)/(2*Scratch!S10/Scratch!L10),0)</f>
        <v>6.0646166050827848</v>
      </c>
      <c r="F20" s="75"/>
      <c r="G20" s="140"/>
      <c r="H20" s="74"/>
      <c r="I20" s="132">
        <f ca="1">IF(B17-L15&gt;15,(B17-L15)/(1000*(Scratch!J10/Scratch!P10)/G6),0)</f>
        <v>1.8639721812116348</v>
      </c>
      <c r="J20" s="74"/>
      <c r="T20" s="83"/>
      <c r="U20" s="83"/>
    </row>
    <row r="21" spans="2:21" ht="18" customHeight="1" thickTop="1" thickBot="1" x14ac:dyDescent="0.25">
      <c r="B21" s="7" t="s">
        <v>123</v>
      </c>
      <c r="C21" s="131">
        <f>ROUND(C20/1.8*4,0)</f>
        <v>0</v>
      </c>
      <c r="D21" s="131">
        <f ca="1">ROUND(D20/4*4,0)</f>
        <v>3</v>
      </c>
      <c r="E21" s="131">
        <f ca="1">ROUND(E20/3.4*4,0)</f>
        <v>7</v>
      </c>
      <c r="F21" s="131">
        <f>ROUND(F20/4.5*4,0)</f>
        <v>0</v>
      </c>
      <c r="G21" s="131">
        <f>ROUND(G20/4.4*4,0)</f>
        <v>0</v>
      </c>
      <c r="H21" s="131">
        <f>ROUND(H20/5.69*4,0)</f>
        <v>0</v>
      </c>
      <c r="I21" s="131">
        <f ca="1">ROUND(I20/2.3*4,0)</f>
        <v>3</v>
      </c>
      <c r="J21" s="131"/>
      <c r="N21" s="4"/>
      <c r="O21" s="4"/>
      <c r="T21" s="83"/>
      <c r="U21" s="83"/>
    </row>
    <row r="22" spans="2:21" customFormat="1" ht="9" customHeight="1" thickTop="1" thickBot="1" x14ac:dyDescent="0.25"/>
    <row r="23" spans="2:21" ht="50.25" thickBot="1" x14ac:dyDescent="0.2">
      <c r="B23" s="86" t="s">
        <v>55</v>
      </c>
      <c r="C23" s="9" t="s">
        <v>135</v>
      </c>
      <c r="D23" s="9" t="s">
        <v>136</v>
      </c>
      <c r="E23" s="9" t="s">
        <v>90</v>
      </c>
      <c r="F23" s="9" t="s">
        <v>137</v>
      </c>
      <c r="G23" s="9" t="s">
        <v>91</v>
      </c>
      <c r="H23" s="9" t="s">
        <v>138</v>
      </c>
      <c r="I23" s="9" t="s">
        <v>139</v>
      </c>
      <c r="J23" s="9" t="s">
        <v>92</v>
      </c>
      <c r="L23" s="9" t="s">
        <v>142</v>
      </c>
      <c r="M23" s="9" t="s">
        <v>143</v>
      </c>
      <c r="N23" s="14"/>
      <c r="P23" s="59"/>
      <c r="Q23" s="59"/>
      <c r="R23" s="59"/>
      <c r="S23" s="59"/>
      <c r="T23" s="83"/>
      <c r="U23" s="83"/>
    </row>
    <row r="24" spans="2:21" ht="18" customHeight="1" thickBot="1" x14ac:dyDescent="0.2">
      <c r="B24" s="15" t="s">
        <v>51</v>
      </c>
      <c r="C24" s="22">
        <f ca="1">1000*Scratch!R10*(C20/Scratch!J10+D20/Scratch!K10+E20/Scratch!L10+I20/Scratch!P10)/G6</f>
        <v>87.85344665083916</v>
      </c>
      <c r="D24" s="22">
        <f>1000*Scratch!U10*(F20/Scratch!M10+J20/Scratch!Q10)/G6</f>
        <v>0</v>
      </c>
      <c r="E24" s="22">
        <f>1000*C20/G6</f>
        <v>0</v>
      </c>
      <c r="F24" s="22">
        <f>1000*Scratch!V10*(G20/Scratch!N10+H20/Scratch!O10)/G6</f>
        <v>0</v>
      </c>
      <c r="G24" s="22">
        <f>1000*(G20*Scratch!W10/Scratch!N10*50/61)/G6</f>
        <v>0</v>
      </c>
      <c r="H24" s="22">
        <f ca="1">1000*Scratch!S10*(2*E20/Scratch!L10+H20/Scratch!O10+2*J20/Scratch!Q10)/G6</f>
        <v>74.999999999999986</v>
      </c>
      <c r="I24" s="22">
        <f ca="1">1000*Scratch!T10*(D20/Scratch!K10+F20/Scratch!M10)/G6</f>
        <v>47</v>
      </c>
      <c r="J24" s="22">
        <f ca="1">1000*(I20*2/Scratch!P10*50)/G6</f>
        <v>64.505893957982394</v>
      </c>
      <c r="L24" s="22">
        <f ca="1">(C24/Scratch!R10+D24/Scratch!U10)*Scratch!J10</f>
        <v>219.39665476315866</v>
      </c>
      <c r="M24" s="22">
        <f ca="1">E24+G24+J24</f>
        <v>64.505893957982394</v>
      </c>
      <c r="P24" s="59"/>
      <c r="Q24" s="59"/>
      <c r="R24" s="59"/>
      <c r="S24" s="59"/>
      <c r="T24" s="83"/>
      <c r="U24" s="83"/>
    </row>
    <row r="25" spans="2:21" ht="36" customHeight="1" thickBot="1" x14ac:dyDescent="0.2">
      <c r="B25" s="174" t="s">
        <v>65</v>
      </c>
      <c r="C25" s="174"/>
      <c r="D25" s="174"/>
      <c r="E25" s="174"/>
      <c r="F25" s="174"/>
      <c r="G25" s="174"/>
      <c r="H25" s="174"/>
      <c r="I25" s="174"/>
      <c r="J25" s="174"/>
      <c r="K25" s="174"/>
      <c r="L25" s="174"/>
      <c r="M25" s="67"/>
      <c r="P25" s="59"/>
      <c r="Q25" s="59"/>
      <c r="R25" s="59"/>
      <c r="S25" s="59"/>
      <c r="T25" s="83"/>
      <c r="U25" s="83"/>
    </row>
    <row r="26" spans="2:21" ht="54" customHeight="1" thickTop="1" thickBot="1" x14ac:dyDescent="0.25">
      <c r="B26" s="7" t="s">
        <v>150</v>
      </c>
      <c r="C26" s="7" t="s">
        <v>46</v>
      </c>
      <c r="D26" s="87" t="s">
        <v>47</v>
      </c>
      <c r="E26" s="87" t="s">
        <v>93</v>
      </c>
      <c r="F26" s="7" t="s">
        <v>7</v>
      </c>
      <c r="G26" s="7" t="s">
        <v>94</v>
      </c>
      <c r="H26" s="7" t="s">
        <v>144</v>
      </c>
      <c r="I26" s="87" t="s">
        <v>141</v>
      </c>
      <c r="K26" s="105"/>
      <c r="L26" s="125"/>
      <c r="M26" s="25"/>
      <c r="T26" s="83"/>
      <c r="U26" s="83"/>
    </row>
    <row r="27" spans="2:21" ht="18" customHeight="1" thickTop="1" thickBot="1" x14ac:dyDescent="0.25">
      <c r="B27" s="7" t="s">
        <v>3</v>
      </c>
      <c r="C27" s="76">
        <f>(2*36.46094)/1000</f>
        <v>7.2921880000000008E-2</v>
      </c>
      <c r="D27" s="66">
        <f ca="1">IF(L15&gt;B17,((E17/50)*G6*Scratch!B28)/(C27*(1+((C27/Scratch!S28)*Scratch!R28))*1000),0)</f>
        <v>0</v>
      </c>
      <c r="E27" s="106"/>
      <c r="F27" s="66">
        <f ca="1">IF(B17-(E37-K37)&lt;0,((((IF(E11="Bicarbonate",(50*E12/61),E12)-B17)-K37)*0.5/50)*G6*Scratch!B28)/(C27*(1+((C27/Scratch!S28)*Scratch!R28))*1000),0)</f>
        <v>0</v>
      </c>
      <c r="G27" s="107"/>
      <c r="H27" s="66">
        <f ca="1">(50*F27*C27*(1+((C27/Scratch!S28)*Scratch!R28))*1000)/(Scratch!B28*G6)</f>
        <v>0</v>
      </c>
      <c r="I27" s="66">
        <f ca="1">(F27*35.45*C27*(1+((C27/Scratch!S28)*Scratch!R28))*1000)/(Scratch!B28*G6)</f>
        <v>0</v>
      </c>
      <c r="J27" s="171" t="s">
        <v>126</v>
      </c>
      <c r="K27" s="172"/>
      <c r="M27" s="25"/>
      <c r="T27" s="83"/>
      <c r="U27" s="83"/>
    </row>
    <row r="28" spans="2:21" ht="18" customHeight="1" thickTop="1" thickBot="1" x14ac:dyDescent="0.2">
      <c r="B28" s="7" t="s">
        <v>4</v>
      </c>
      <c r="C28" s="76">
        <v>0.88</v>
      </c>
      <c r="D28" s="65">
        <f ca="1">IF(L15&gt;B17,((E17/50)*G6*Scratch!B30)/(C28*(1+(C28*Scratch!R30))*1000),0)</f>
        <v>0</v>
      </c>
      <c r="E28" s="108"/>
      <c r="F28" s="77"/>
      <c r="G28" s="107"/>
      <c r="H28" s="65">
        <f>(50*F28*C28*(1+(C28*Scratch!R30))*1000)/(Scratch!B30*G6)</f>
        <v>0</v>
      </c>
      <c r="I28" s="108"/>
      <c r="J28" s="171"/>
      <c r="K28" s="172"/>
      <c r="M28" s="60"/>
      <c r="T28" s="83"/>
      <c r="U28" s="83"/>
    </row>
    <row r="29" spans="2:21" ht="18" customHeight="1" thickTop="1" thickBot="1" x14ac:dyDescent="0.2">
      <c r="B29" s="7" t="s">
        <v>95</v>
      </c>
      <c r="C29" s="76">
        <v>0.85</v>
      </c>
      <c r="D29" s="66">
        <f ca="1">IF(L15&gt;B17,((E17/50)*G6*Scratch!B29)/(C29*(1+(C29*Scratch!R29))*1000),0)</f>
        <v>0</v>
      </c>
      <c r="E29" s="106"/>
      <c r="F29" s="77"/>
      <c r="G29" s="107"/>
      <c r="H29" s="66">
        <f>(50*F29*C29*(1+(C29*Scratch!R29))*1000)/(Scratch!B29*G6)</f>
        <v>0</v>
      </c>
      <c r="I29" s="106"/>
      <c r="J29" s="171"/>
      <c r="K29" s="172"/>
      <c r="M29" s="60"/>
      <c r="T29" s="83"/>
      <c r="U29" s="83"/>
    </row>
    <row r="30" spans="2:21" ht="18" customHeight="1" thickTop="1" thickBot="1" x14ac:dyDescent="0.2">
      <c r="B30" s="7" t="s">
        <v>82</v>
      </c>
      <c r="C30" s="76">
        <f>(2/2*98.079)/1000</f>
        <v>9.8079E-2</v>
      </c>
      <c r="D30" s="65">
        <f ca="1">IF(L15&gt;B17,((E17/50)*G6*Scratch!B31)/(2*C30*(1+(C30*Scratch!R31))*1000),0)</f>
        <v>0</v>
      </c>
      <c r="E30" s="108"/>
      <c r="F30" s="66">
        <f ca="1">IF(B17-(E37-K37)&lt;0,((((IF(E11="Bicarbonate",(50*E12/61),E12)-B17)-K37)*0.5/50)*G6*Scratch!B31)/(2*C30*(1+(C30*Scratch!R31))*1000),0)</f>
        <v>0</v>
      </c>
      <c r="G30" s="107"/>
      <c r="H30" s="65">
        <f ca="1">(2*50*F30*C30*(1+(C30*Scratch!R31))*1000)/(Scratch!B31*G6)</f>
        <v>0</v>
      </c>
      <c r="I30" s="65">
        <f ca="1">(F30*96.06*C30*(1+(C30*Scratch!R31))*1000)/(Scratch!B31*G6)</f>
        <v>0</v>
      </c>
      <c r="J30" s="171"/>
      <c r="K30" s="172"/>
      <c r="M30" s="60"/>
      <c r="N30" s="137"/>
      <c r="T30" s="83"/>
      <c r="U30" s="83"/>
    </row>
    <row r="31" spans="2:21" ht="18" customHeight="1" thickTop="1" thickBot="1" x14ac:dyDescent="0.2">
      <c r="B31" s="7" t="s">
        <v>96</v>
      </c>
      <c r="C31" s="76">
        <v>1</v>
      </c>
      <c r="D31" s="66">
        <f ca="1">IF(L15&gt;B17,((E17/50)*G6*Scratch!B32)/(C31*(1+(C31*Scratch!R32))*1000),0)</f>
        <v>0</v>
      </c>
      <c r="E31" s="106"/>
      <c r="F31" s="77"/>
      <c r="G31" s="107"/>
      <c r="H31" s="66">
        <f>(50*F31*C31*(1+(C31*Scratch!R32))*1000)/(Scratch!B32*G6)</f>
        <v>0</v>
      </c>
      <c r="I31" s="111"/>
      <c r="J31" s="171"/>
      <c r="K31" s="172"/>
      <c r="M31" s="60"/>
      <c r="N31" s="137"/>
      <c r="O31" s="1"/>
      <c r="T31" s="83"/>
      <c r="U31" s="83"/>
    </row>
    <row r="32" spans="2:21" ht="18" customHeight="1" thickTop="1" thickBot="1" x14ac:dyDescent="0.2">
      <c r="B32" s="7" t="s">
        <v>97</v>
      </c>
      <c r="C32" s="112"/>
      <c r="D32" s="108"/>
      <c r="E32" s="65">
        <f ca="1">IF(L15&gt;B17,((E17/50)*G6*Scratch!B33)/1000,0)</f>
        <v>0</v>
      </c>
      <c r="F32" s="107"/>
      <c r="G32" s="77"/>
      <c r="H32" s="65">
        <f>(50*G32*1000)/(Scratch!B33*G6)</f>
        <v>0</v>
      </c>
      <c r="I32" s="109"/>
      <c r="J32" s="171"/>
      <c r="K32" s="172"/>
      <c r="M32" s="60"/>
      <c r="N32" s="139"/>
      <c r="T32" s="83"/>
      <c r="U32" s="83"/>
    </row>
    <row r="33" spans="2:21" ht="18" customHeight="1" thickTop="1" thickBot="1" x14ac:dyDescent="0.2">
      <c r="B33" s="7" t="s">
        <v>98</v>
      </c>
      <c r="C33" s="112"/>
      <c r="D33" s="108"/>
      <c r="E33" s="65">
        <f ca="1">IF(L15&gt;B17,((E17/50)*G6*Scratch!B34)/1000,0)</f>
        <v>0</v>
      </c>
      <c r="F33" s="107"/>
      <c r="G33" s="77"/>
      <c r="H33" s="65">
        <f>(50*G33*1000)/(Scratch!B34*G6)</f>
        <v>0</v>
      </c>
      <c r="I33" s="109"/>
      <c r="J33" s="171"/>
      <c r="K33" s="172"/>
      <c r="L33" s="110"/>
      <c r="M33" s="60"/>
      <c r="T33" s="83"/>
      <c r="U33" s="83"/>
    </row>
    <row r="34" spans="2:21" ht="16.5" customHeight="1" thickTop="1" thickBot="1" x14ac:dyDescent="0.2">
      <c r="B34" s="7" t="s">
        <v>99</v>
      </c>
      <c r="C34" s="112"/>
      <c r="D34" s="108"/>
      <c r="E34" s="65">
        <f ca="1">IF(L15&gt;B17,((E17/50)*G6*Scratch!B35)/1000,0)</f>
        <v>0</v>
      </c>
      <c r="F34" s="107"/>
      <c r="G34" s="77"/>
      <c r="H34" s="65">
        <f>(50*G34*1000)/(Scratch!B35*G6)</f>
        <v>0</v>
      </c>
      <c r="I34" s="109"/>
      <c r="J34" s="171"/>
      <c r="K34" s="172"/>
      <c r="L34" s="110"/>
      <c r="M34" s="60"/>
      <c r="T34" s="83"/>
      <c r="U34" s="83"/>
    </row>
    <row r="35" spans="2:21" ht="36" customHeight="1" thickTop="1" thickBot="1" x14ac:dyDescent="0.2">
      <c r="B35" s="174" t="s">
        <v>66</v>
      </c>
      <c r="C35" s="176"/>
      <c r="D35" s="176"/>
      <c r="E35" s="176"/>
      <c r="F35" s="176"/>
      <c r="G35" s="176"/>
      <c r="H35" s="176"/>
      <c r="I35" s="176"/>
      <c r="J35" s="67"/>
      <c r="K35" s="67"/>
      <c r="L35" s="67"/>
      <c r="M35" s="68"/>
      <c r="N35" s="67"/>
      <c r="O35" s="67"/>
      <c r="P35" s="67"/>
      <c r="T35" s="83"/>
    </row>
    <row r="36" spans="2:21" ht="38.25" thickBot="1" x14ac:dyDescent="0.25">
      <c r="B36" s="16" t="s">
        <v>56</v>
      </c>
      <c r="C36" s="9" t="s">
        <v>135</v>
      </c>
      <c r="D36" s="9" t="s">
        <v>136</v>
      </c>
      <c r="E36" s="9" t="s">
        <v>145</v>
      </c>
      <c r="F36" s="9" t="s">
        <v>146</v>
      </c>
      <c r="G36" s="9" t="s">
        <v>137</v>
      </c>
      <c r="H36" s="9" t="s">
        <v>138</v>
      </c>
      <c r="I36" s="9" t="s">
        <v>139</v>
      </c>
      <c r="J36" s="9" t="s">
        <v>147</v>
      </c>
      <c r="K36" s="9" t="s">
        <v>148</v>
      </c>
      <c r="L36" s="9" t="s">
        <v>140</v>
      </c>
      <c r="M36" s="21" t="s">
        <v>62</v>
      </c>
      <c r="N36" s="9" t="s">
        <v>69</v>
      </c>
      <c r="O36" s="9" t="s">
        <v>89</v>
      </c>
      <c r="P36" s="9" t="s">
        <v>0</v>
      </c>
      <c r="T36" s="83"/>
    </row>
    <row r="37" spans="2:21" ht="18" customHeight="1" thickBot="1" x14ac:dyDescent="0.25">
      <c r="B37" s="15" t="s">
        <v>51</v>
      </c>
      <c r="C37" s="22">
        <f ca="1">C15+C24</f>
        <v>107.85344665083916</v>
      </c>
      <c r="D37" s="22">
        <f ca="1">D15+D24</f>
        <v>1</v>
      </c>
      <c r="E37" s="22">
        <f ca="1">IF(E11="Bicarbonate",(50/61*E15),E15)+M24</f>
        <v>117.50589395798239</v>
      </c>
      <c r="F37" s="22">
        <f ca="1">E37-SUM(H27:H34)</f>
        <v>117.50589395798239</v>
      </c>
      <c r="G37" s="22">
        <f ca="1">F15+F24</f>
        <v>5</v>
      </c>
      <c r="H37" s="22">
        <f ca="1">IF(D27=0,G15+H24,G15+H24+I27)</f>
        <v>79.999999999999986</v>
      </c>
      <c r="I37" s="22">
        <f ca="1">IF(D30=0,H15+I24,H15+I24+I30)</f>
        <v>48</v>
      </c>
      <c r="J37" s="22">
        <f ca="1">C37*50/20+D37*50/12.1</f>
        <v>273.76584803205662</v>
      </c>
      <c r="K37" s="22">
        <f ca="1">(C37/1.4)+(D37/1.7)</f>
        <v>77.626411473288485</v>
      </c>
      <c r="L37" s="22">
        <f ca="1">F37-K37</f>
        <v>39.879482484693909</v>
      </c>
      <c r="M37" s="22">
        <f ca="1">IF(L37&lt;-69,0,L37*0.082+5.2)</f>
        <v>8.4701175637449015</v>
      </c>
      <c r="N37" s="47">
        <f ca="1">IF(L37&lt;-128,0,(L37+122.4)/12.2)</f>
        <v>13.301596924974913</v>
      </c>
      <c r="O37" s="47" t="str">
        <f ca="1">VLOOKUP(P37,Scratch!A39:B51,2,TRUE)</f>
        <v>Malty</v>
      </c>
      <c r="P37" s="78">
        <f ca="1">I37/H37</f>
        <v>0.60000000000000009</v>
      </c>
      <c r="T37" s="83"/>
    </row>
    <row r="38" spans="2:21" ht="36" customHeight="1" thickBot="1" x14ac:dyDescent="0.25">
      <c r="B38" s="61" t="s">
        <v>67</v>
      </c>
      <c r="C38" s="62"/>
      <c r="D38" s="62"/>
      <c r="E38" s="62"/>
      <c r="F38" s="118"/>
      <c r="G38" s="118"/>
      <c r="H38" s="118"/>
      <c r="I38" s="118"/>
      <c r="J38" s="118"/>
      <c r="K38" s="118"/>
      <c r="L38" s="118"/>
      <c r="M38" s="118"/>
      <c r="N38" s="118"/>
      <c r="O38" s="118"/>
      <c r="P38" s="118"/>
    </row>
    <row r="39" spans="2:21" ht="54" customHeight="1" thickTop="1" thickBot="1" x14ac:dyDescent="0.25">
      <c r="B39" s="58" t="s">
        <v>72</v>
      </c>
      <c r="C39" s="58" t="s">
        <v>73</v>
      </c>
      <c r="D39" s="169" t="s">
        <v>237</v>
      </c>
      <c r="E39" s="169" t="s">
        <v>144</v>
      </c>
      <c r="F39" s="169" t="s">
        <v>154</v>
      </c>
      <c r="G39" s="118"/>
      <c r="H39" s="118"/>
      <c r="I39" s="118"/>
      <c r="J39" s="118"/>
      <c r="K39" s="118"/>
      <c r="L39" s="118"/>
      <c r="M39" s="118"/>
      <c r="N39" s="118"/>
      <c r="O39" s="118"/>
      <c r="P39" s="118"/>
    </row>
    <row r="40" spans="2:21" ht="18" customHeight="1" thickTop="1" thickBot="1" x14ac:dyDescent="0.25">
      <c r="B40" s="79">
        <v>8.1999999999999993</v>
      </c>
      <c r="C40" s="82">
        <v>5.5</v>
      </c>
      <c r="D40" s="129">
        <f>F6-G6</f>
        <v>20.799999999999997</v>
      </c>
      <c r="E40" s="129">
        <f ca="1">AVERAGE((50*D43*C43*(1+((C43/Scratch!S28)*Scratch!R28))*1000)/(Scratch!B28*D40),(2*50*D46*C46*(1+(C46*Scratch!R31))*1000)/(Scratch!B31*G6))</f>
        <v>36.167215063666362</v>
      </c>
      <c r="F40" s="170">
        <f ca="1">E15-E40</f>
        <v>16.832784936333638</v>
      </c>
      <c r="G40" s="118"/>
      <c r="H40" s="118"/>
      <c r="I40" s="118"/>
      <c r="J40" s="118"/>
      <c r="K40" s="118"/>
      <c r="L40" s="118"/>
      <c r="M40" s="118"/>
      <c r="N40" s="118"/>
      <c r="O40" s="118"/>
      <c r="P40" s="118"/>
    </row>
    <row r="41" spans="2:21" ht="8.25" customHeight="1" thickTop="1" thickBot="1" x14ac:dyDescent="0.25">
      <c r="B41" s="64"/>
      <c r="C41" s="63"/>
      <c r="F41" s="118"/>
      <c r="G41" s="118"/>
      <c r="H41" s="118"/>
      <c r="I41" s="118"/>
      <c r="J41" s="118"/>
      <c r="K41" s="118"/>
      <c r="L41" s="118"/>
      <c r="M41" s="118"/>
      <c r="N41" s="118"/>
      <c r="O41" s="118"/>
      <c r="P41" s="118"/>
    </row>
    <row r="42" spans="2:21" ht="54" customHeight="1" thickTop="1" thickBot="1" x14ac:dyDescent="0.25">
      <c r="B42" s="7" t="s">
        <v>2</v>
      </c>
      <c r="C42" s="7" t="s">
        <v>46</v>
      </c>
      <c r="D42" s="7" t="s">
        <v>175</v>
      </c>
      <c r="E42" s="7" t="s">
        <v>141</v>
      </c>
      <c r="F42" s="171" t="s">
        <v>239</v>
      </c>
      <c r="G42" s="172"/>
      <c r="H42" s="118"/>
      <c r="I42" s="118"/>
      <c r="J42" s="118"/>
      <c r="K42" s="118"/>
      <c r="L42" s="118"/>
      <c r="M42" s="118"/>
      <c r="N42" s="118"/>
      <c r="O42" s="118"/>
    </row>
    <row r="43" spans="2:21" ht="18" customHeight="1" thickTop="1" thickBot="1" x14ac:dyDescent="0.25">
      <c r="B43" s="7" t="s">
        <v>3</v>
      </c>
      <c r="C43" s="76">
        <f>(2*36.46094)/1000</f>
        <v>7.2921880000000008E-2</v>
      </c>
      <c r="D43" s="65">
        <f ca="1">IF(B40&gt;C40,(Scratch!B28*Scratch!P28*(F6-G6))/(C43*(1+((C43/Scratch!S28)*Scratch!R28))*1000),0)</f>
        <v>9.4681420659682747</v>
      </c>
      <c r="E43" s="115">
        <f ca="1">(D43*35.45*C43*(1+((C43/Scratch!S28)*Scratch!R28))*1000)/(Scratch!B28*(F6-G6))</f>
        <v>33.445014299371053</v>
      </c>
      <c r="F43" s="171"/>
      <c r="G43" s="172"/>
      <c r="H43" s="118"/>
      <c r="I43" s="118"/>
      <c r="J43" s="118"/>
      <c r="K43" s="118"/>
      <c r="L43" s="118"/>
      <c r="M43" s="118"/>
      <c r="N43" s="118"/>
      <c r="O43" s="118"/>
    </row>
    <row r="44" spans="2:21" ht="18" customHeight="1" thickTop="1" thickBot="1" x14ac:dyDescent="0.25">
      <c r="B44" s="7" t="s">
        <v>4</v>
      </c>
      <c r="C44" s="76">
        <v>0.88</v>
      </c>
      <c r="D44" s="66">
        <f ca="1">IF(B40&gt;C40,(Scratch!B30*Scratch!P30*(F6-G6))/(C44*(1+(C44*Scratch!R30))*1000),0)</f>
        <v>1.7394349739058392</v>
      </c>
      <c r="E44" s="114"/>
      <c r="F44" s="171"/>
      <c r="G44" s="172"/>
      <c r="H44" s="118"/>
      <c r="I44" s="118"/>
      <c r="J44" s="118"/>
      <c r="K44" s="118"/>
      <c r="L44" s="118"/>
      <c r="M44" s="118"/>
      <c r="N44" s="118"/>
      <c r="O44" s="118"/>
    </row>
    <row r="45" spans="2:21" ht="18.75" customHeight="1" thickTop="1" thickBot="1" x14ac:dyDescent="0.25">
      <c r="B45" s="7" t="s">
        <v>95</v>
      </c>
      <c r="C45" s="76">
        <v>0.85</v>
      </c>
      <c r="D45" s="65">
        <f ca="1">IF(B40&gt;C40,(Scratch!B29*Scratch!P29*(F6-G6))/(C45*(1+(C45*Scratch!R29))*1000),0)</f>
        <v>1.2668395924991722</v>
      </c>
      <c r="E45" s="113"/>
      <c r="F45" s="171"/>
      <c r="G45" s="172"/>
      <c r="H45" s="118"/>
      <c r="I45" s="118"/>
      <c r="J45" s="118"/>
      <c r="K45" s="118"/>
      <c r="L45" s="118"/>
      <c r="M45" s="118"/>
      <c r="N45" s="118"/>
      <c r="O45" s="118"/>
    </row>
    <row r="46" spans="2:21" ht="17.25" customHeight="1" thickTop="1" thickBot="1" x14ac:dyDescent="0.25">
      <c r="B46" s="7" t="s">
        <v>82</v>
      </c>
      <c r="C46" s="76">
        <f>(2/2*98.079)/1000</f>
        <v>9.8079E-2</v>
      </c>
      <c r="D46" s="115">
        <f ca="1">IF(B40&gt;C40,(Scratch!B31*Scratch!P31*(F6-G6))/(C46*(1+(C46*Scratch!R31))*1000),0)</f>
        <v>9.065534402868952</v>
      </c>
      <c r="E46" s="115">
        <f ca="1">(D46*96.06*C46*(1+(C46*Scratch!R31))*1000)/(Scratch!B31*(F6-G6))</f>
        <v>45.320513537909271</v>
      </c>
      <c r="F46" s="171"/>
      <c r="G46" s="172"/>
      <c r="H46" s="118"/>
      <c r="I46" s="118"/>
      <c r="J46" s="118"/>
      <c r="K46" s="118"/>
      <c r="L46" s="118"/>
      <c r="M46" s="118"/>
      <c r="N46" s="118"/>
      <c r="O46" s="118"/>
    </row>
    <row r="47" spans="2:21" ht="16.5" customHeight="1" thickTop="1" thickBot="1" x14ac:dyDescent="0.25">
      <c r="B47" s="7" t="s">
        <v>96</v>
      </c>
      <c r="C47" s="76">
        <v>1</v>
      </c>
      <c r="D47" s="115">
        <f ca="1">IF(B40&gt;C40,(Scratch!B32*Scratch!P32*(F6-G6))/(C47*(1+(C47*Scratch!R32))*1000),0)</f>
        <v>1.3277688939303394</v>
      </c>
      <c r="E47" s="116"/>
      <c r="F47" s="171"/>
      <c r="G47" s="172"/>
      <c r="H47" s="118"/>
      <c r="I47" s="118"/>
      <c r="J47" s="118"/>
      <c r="K47" s="118"/>
      <c r="L47" s="118"/>
      <c r="M47" s="118"/>
      <c r="N47" s="118"/>
      <c r="O47" s="118"/>
    </row>
    <row r="48" spans="2:21" ht="16.5" customHeight="1" thickTop="1" thickBot="1" x14ac:dyDescent="0.25">
      <c r="B48" s="7" t="s">
        <v>97</v>
      </c>
      <c r="C48" s="112"/>
      <c r="D48" s="115">
        <f ca="1">IF(B40&gt;C40,(Scratch!B33*Scratch!P33*(F6-G6))/1000,0)</f>
        <v>1.5221878760487191</v>
      </c>
      <c r="E48" s="116"/>
      <c r="F48" s="171"/>
      <c r="G48" s="172"/>
      <c r="H48" s="118"/>
      <c r="I48" s="118"/>
      <c r="J48" s="118"/>
      <c r="K48" s="118"/>
      <c r="L48" s="118"/>
      <c r="M48" s="118"/>
      <c r="N48" s="118"/>
      <c r="O48" s="118"/>
    </row>
    <row r="49" spans="2:16" ht="15.75" customHeight="1" thickTop="1" thickBot="1" x14ac:dyDescent="0.25">
      <c r="B49" s="7" t="s">
        <v>98</v>
      </c>
      <c r="C49" s="112"/>
      <c r="D49" s="115">
        <f ca="1">IF(B40&gt;C40,(Scratch!B34*Scratch!P34*(F6-G6))/1000,0)</f>
        <v>1.9283795574627431</v>
      </c>
      <c r="E49" s="116"/>
      <c r="F49" s="171"/>
      <c r="G49" s="172"/>
      <c r="H49" s="118"/>
      <c r="I49" s="118"/>
      <c r="J49" s="118"/>
      <c r="K49" s="118"/>
      <c r="L49" s="118"/>
      <c r="M49" s="118"/>
      <c r="N49" s="118"/>
      <c r="O49" s="118"/>
    </row>
    <row r="50" spans="2:16" ht="15.75" customHeight="1" thickTop="1" thickBot="1" x14ac:dyDescent="0.25">
      <c r="B50" s="7" t="s">
        <v>99</v>
      </c>
      <c r="C50" s="112"/>
      <c r="D50" s="115">
        <f ca="1">IF(B40&gt;C40,(Scratch!B35*Scratch!P35*(F6-G6))/1000,0)</f>
        <v>1.541839065976659</v>
      </c>
      <c r="E50" s="116"/>
      <c r="F50" s="118"/>
      <c r="G50" s="118"/>
      <c r="H50" s="118"/>
      <c r="I50" s="118"/>
      <c r="J50" s="118"/>
      <c r="K50" s="118"/>
      <c r="L50" s="118"/>
      <c r="M50" s="118"/>
      <c r="N50" s="118"/>
      <c r="O50" s="118"/>
    </row>
    <row r="51" spans="2:16" ht="12" customHeight="1" thickTop="1" x14ac:dyDescent="0.2">
      <c r="F51" s="118"/>
      <c r="G51" s="118"/>
      <c r="H51" s="118"/>
      <c r="I51" s="118"/>
      <c r="J51" s="118"/>
      <c r="K51" s="118"/>
      <c r="L51" s="118"/>
      <c r="M51" s="118"/>
      <c r="N51" s="118"/>
      <c r="O51" s="118"/>
    </row>
    <row r="52" spans="2:16" ht="11.1" customHeight="1" x14ac:dyDescent="0.2">
      <c r="F52" s="118"/>
      <c r="G52" s="118"/>
      <c r="H52" s="118"/>
      <c r="I52" s="118"/>
      <c r="J52" s="118"/>
      <c r="K52" s="118"/>
      <c r="L52" s="118"/>
      <c r="M52" s="118"/>
      <c r="N52" s="118"/>
      <c r="O52" s="118"/>
      <c r="P52" s="118"/>
    </row>
    <row r="53" spans="2:16" ht="11.1" customHeight="1" x14ac:dyDescent="0.2">
      <c r="F53" s="118"/>
      <c r="G53" s="118"/>
      <c r="H53" s="118"/>
      <c r="I53" s="118"/>
      <c r="J53" s="118"/>
      <c r="K53" s="118"/>
      <c r="L53" s="118"/>
      <c r="M53" s="118"/>
      <c r="N53" s="118"/>
      <c r="O53" s="118"/>
      <c r="P53" s="118"/>
    </row>
    <row r="54" spans="2:16" ht="11.1" customHeight="1" x14ac:dyDescent="0.2">
      <c r="F54" s="118"/>
      <c r="G54" s="118"/>
      <c r="H54" s="118"/>
      <c r="I54" s="118"/>
      <c r="J54" s="118"/>
      <c r="K54" s="118"/>
      <c r="L54" s="118"/>
      <c r="M54" s="118"/>
      <c r="N54" s="118"/>
      <c r="O54" s="118"/>
      <c r="P54" s="118"/>
    </row>
    <row r="55" spans="2:16" ht="11.1" customHeight="1" x14ac:dyDescent="0.2">
      <c r="F55" s="118"/>
      <c r="G55" s="118"/>
      <c r="H55" s="118"/>
      <c r="I55" s="118"/>
      <c r="J55" s="118"/>
      <c r="K55" s="118"/>
      <c r="L55" s="118"/>
      <c r="M55" s="118"/>
      <c r="N55" s="118"/>
      <c r="O55" s="118"/>
      <c r="P55" s="118"/>
    </row>
    <row r="56" spans="2:16" ht="11.1" customHeight="1" x14ac:dyDescent="0.2">
      <c r="F56" s="118"/>
      <c r="G56" s="118"/>
      <c r="H56" s="118"/>
      <c r="I56" s="118"/>
      <c r="J56" s="118"/>
      <c r="K56" s="118"/>
      <c r="L56" s="118"/>
      <c r="M56" s="118"/>
      <c r="N56" s="118"/>
      <c r="O56" s="118"/>
      <c r="P56" s="118"/>
    </row>
    <row r="57" spans="2:16" ht="11.1" customHeight="1" x14ac:dyDescent="0.2">
      <c r="F57" s="118"/>
      <c r="G57" s="118"/>
      <c r="H57" s="118"/>
      <c r="I57" s="118"/>
      <c r="J57" s="118"/>
      <c r="K57" s="118"/>
      <c r="L57" s="118"/>
      <c r="M57" s="118"/>
      <c r="N57" s="118"/>
      <c r="O57" s="118"/>
      <c r="P57" s="118"/>
    </row>
    <row r="58" spans="2:16" ht="11.1" customHeight="1" x14ac:dyDescent="0.2">
      <c r="F58" s="118"/>
      <c r="G58" s="118"/>
      <c r="H58" s="118"/>
      <c r="I58" s="118"/>
      <c r="J58" s="118"/>
      <c r="K58" s="118"/>
      <c r="L58" s="118"/>
      <c r="M58" s="118"/>
      <c r="N58" s="118"/>
      <c r="O58" s="118"/>
      <c r="P58" s="118"/>
    </row>
    <row r="59" spans="2:16" ht="11.1" customHeight="1" x14ac:dyDescent="0.2">
      <c r="F59" s="118"/>
      <c r="G59" s="118"/>
      <c r="H59" s="118"/>
      <c r="I59" s="118"/>
      <c r="J59" s="118"/>
      <c r="K59" s="118"/>
      <c r="L59" s="118"/>
      <c r="M59" s="118"/>
      <c r="N59" s="118"/>
      <c r="O59" s="118"/>
      <c r="P59" s="118"/>
    </row>
    <row r="60" spans="2:16" ht="11.1" customHeight="1" x14ac:dyDescent="0.2">
      <c r="F60" s="118"/>
      <c r="G60" s="118"/>
      <c r="H60" s="118"/>
      <c r="I60" s="118"/>
      <c r="J60" s="118"/>
      <c r="K60" s="118"/>
      <c r="L60" s="118"/>
      <c r="M60" s="118"/>
      <c r="N60" s="118"/>
      <c r="O60" s="118"/>
      <c r="P60" s="118"/>
    </row>
    <row r="61" spans="2:16" ht="11.1" customHeight="1" x14ac:dyDescent="0.2">
      <c r="F61" s="118"/>
      <c r="G61" s="118"/>
      <c r="H61" s="118"/>
      <c r="I61" s="118"/>
      <c r="J61" s="118"/>
      <c r="K61" s="118"/>
      <c r="L61" s="118"/>
      <c r="M61" s="118"/>
      <c r="N61" s="118"/>
      <c r="O61" s="118"/>
      <c r="P61" s="118"/>
    </row>
    <row r="62" spans="2:16" ht="11.1" customHeight="1" x14ac:dyDescent="0.2">
      <c r="F62" s="118"/>
      <c r="G62" s="118"/>
      <c r="H62" s="118"/>
      <c r="I62" s="118"/>
      <c r="J62" s="118"/>
      <c r="K62" s="118"/>
      <c r="L62" s="118"/>
      <c r="M62" s="118"/>
      <c r="N62" s="118"/>
      <c r="O62" s="118"/>
      <c r="P62" s="118"/>
    </row>
    <row r="63" spans="2:16" ht="11.1" customHeight="1" x14ac:dyDescent="0.2">
      <c r="F63" s="118"/>
      <c r="G63" s="118"/>
      <c r="H63" s="118"/>
      <c r="I63" s="118"/>
      <c r="J63" s="118"/>
      <c r="K63" s="118"/>
      <c r="L63" s="118"/>
      <c r="M63" s="118"/>
      <c r="N63" s="118"/>
      <c r="O63" s="118"/>
      <c r="P63" s="118"/>
    </row>
    <row r="64" spans="2:16" ht="11.1" customHeight="1" x14ac:dyDescent="0.2">
      <c r="F64" s="118"/>
      <c r="G64" s="118"/>
      <c r="H64" s="118"/>
      <c r="I64" s="118"/>
      <c r="J64" s="118"/>
      <c r="K64" s="118"/>
      <c r="L64" s="118"/>
      <c r="M64" s="118"/>
      <c r="N64" s="118"/>
      <c r="O64" s="118"/>
      <c r="P64" s="118"/>
    </row>
    <row r="65" spans="6:16" ht="11.1" customHeight="1" x14ac:dyDescent="0.2">
      <c r="F65" s="118"/>
      <c r="G65" s="118"/>
      <c r="H65" s="118"/>
      <c r="I65" s="118"/>
      <c r="J65" s="118"/>
      <c r="K65" s="118"/>
      <c r="L65" s="118"/>
      <c r="M65" s="118"/>
      <c r="N65" s="118"/>
      <c r="O65" s="118"/>
      <c r="P65" s="118"/>
    </row>
    <row r="66" spans="6:16" ht="11.1" customHeight="1" x14ac:dyDescent="0.2">
      <c r="F66" s="118"/>
      <c r="G66" s="118"/>
      <c r="H66" s="118"/>
      <c r="I66" s="118"/>
      <c r="J66" s="118"/>
      <c r="K66" s="118"/>
      <c r="L66" s="118"/>
      <c r="M66" s="118"/>
      <c r="N66" s="118"/>
      <c r="O66" s="118"/>
      <c r="P66" s="118"/>
    </row>
    <row r="67" spans="6:16" ht="11.1" customHeight="1" x14ac:dyDescent="0.2">
      <c r="F67" s="118"/>
      <c r="G67" s="118"/>
      <c r="H67" s="118"/>
      <c r="I67" s="118"/>
      <c r="J67" s="118"/>
      <c r="K67" s="118"/>
      <c r="L67" s="118"/>
      <c r="M67" s="118"/>
      <c r="N67" s="118"/>
      <c r="O67" s="118"/>
      <c r="P67" s="118"/>
    </row>
    <row r="68" spans="6:16" ht="11.1" customHeight="1" x14ac:dyDescent="0.2">
      <c r="F68" s="118"/>
      <c r="G68" s="118"/>
      <c r="H68" s="118"/>
      <c r="I68" s="118"/>
      <c r="J68" s="118"/>
      <c r="K68" s="118"/>
      <c r="L68" s="118"/>
      <c r="M68" s="118"/>
      <c r="N68" s="118"/>
      <c r="O68" s="118"/>
      <c r="P68" s="118"/>
    </row>
    <row r="69" spans="6:16" ht="11.1" customHeight="1" x14ac:dyDescent="0.2">
      <c r="F69" s="118"/>
      <c r="G69" s="118"/>
      <c r="H69" s="118"/>
      <c r="I69" s="118"/>
      <c r="J69" s="118"/>
      <c r="K69" s="118"/>
      <c r="L69" s="118"/>
      <c r="M69" s="118"/>
      <c r="N69" s="118"/>
      <c r="O69" s="118"/>
      <c r="P69" s="118"/>
    </row>
    <row r="70" spans="6:16" ht="11.1" customHeight="1" x14ac:dyDescent="0.2">
      <c r="F70" s="118"/>
      <c r="G70" s="118"/>
      <c r="H70" s="118"/>
      <c r="I70" s="118"/>
      <c r="J70" s="118"/>
      <c r="K70" s="118"/>
      <c r="L70" s="118"/>
      <c r="M70" s="118"/>
      <c r="N70" s="118"/>
      <c r="O70" s="118"/>
      <c r="P70" s="118"/>
    </row>
    <row r="71" spans="6:16" ht="11.1" customHeight="1" x14ac:dyDescent="0.2">
      <c r="F71" s="118"/>
      <c r="G71" s="118"/>
      <c r="H71" s="118"/>
      <c r="I71" s="118"/>
      <c r="J71" s="118"/>
      <c r="K71" s="118"/>
      <c r="L71" s="118"/>
      <c r="M71" s="118"/>
      <c r="N71" s="118"/>
      <c r="O71" s="118"/>
      <c r="P71" s="118"/>
    </row>
    <row r="72" spans="6:16" ht="11.1" customHeight="1" x14ac:dyDescent="0.2">
      <c r="F72" s="118"/>
      <c r="G72" s="118"/>
      <c r="H72" s="118"/>
      <c r="I72" s="118"/>
      <c r="J72" s="118"/>
      <c r="K72" s="118"/>
      <c r="L72" s="118"/>
      <c r="M72" s="118"/>
      <c r="N72" s="118"/>
      <c r="O72" s="118"/>
      <c r="P72" s="118"/>
    </row>
    <row r="73" spans="6:16" ht="11.1" customHeight="1" x14ac:dyDescent="0.2">
      <c r="F73" s="118"/>
      <c r="G73" s="118"/>
      <c r="H73" s="118"/>
      <c r="I73" s="118"/>
      <c r="J73" s="118"/>
      <c r="K73" s="118"/>
      <c r="L73" s="118"/>
      <c r="M73" s="118"/>
      <c r="N73" s="118"/>
      <c r="O73" s="118"/>
      <c r="P73" s="118"/>
    </row>
    <row r="74" spans="6:16" ht="11.1" customHeight="1" x14ac:dyDescent="0.2">
      <c r="F74" s="118"/>
      <c r="G74" s="118"/>
      <c r="H74" s="118"/>
      <c r="I74" s="118"/>
      <c r="J74" s="118"/>
      <c r="K74" s="118"/>
      <c r="L74" s="118"/>
      <c r="M74" s="118"/>
      <c r="N74" s="118"/>
      <c r="O74" s="118"/>
      <c r="P74" s="118"/>
    </row>
    <row r="75" spans="6:16" ht="11.1" customHeight="1" x14ac:dyDescent="0.2">
      <c r="F75" s="118"/>
      <c r="G75" s="118"/>
      <c r="H75" s="118"/>
      <c r="I75" s="118"/>
      <c r="J75" s="118"/>
      <c r="K75" s="118"/>
      <c r="L75" s="118"/>
      <c r="M75" s="118"/>
      <c r="N75" s="118"/>
      <c r="O75" s="118"/>
      <c r="P75" s="118"/>
    </row>
    <row r="76" spans="6:16" ht="11.1" customHeight="1" x14ac:dyDescent="0.2">
      <c r="F76" s="118"/>
      <c r="G76" s="118"/>
      <c r="H76" s="118"/>
      <c r="I76" s="118"/>
      <c r="J76" s="118"/>
      <c r="K76" s="118"/>
      <c r="L76" s="118"/>
      <c r="M76" s="118"/>
      <c r="N76" s="118"/>
      <c r="O76" s="118"/>
      <c r="P76" s="118"/>
    </row>
    <row r="77" spans="6:16" ht="11.1" customHeight="1" x14ac:dyDescent="0.2">
      <c r="F77" s="118"/>
      <c r="G77" s="118"/>
      <c r="H77" s="118"/>
      <c r="I77" s="118"/>
      <c r="J77" s="118"/>
      <c r="K77" s="118"/>
      <c r="L77" s="118"/>
      <c r="M77" s="118"/>
      <c r="N77" s="118"/>
      <c r="O77" s="118"/>
      <c r="P77" s="118"/>
    </row>
    <row r="78" spans="6:16" ht="11.1" customHeight="1" x14ac:dyDescent="0.2">
      <c r="F78" s="118"/>
      <c r="G78" s="118"/>
      <c r="H78" s="118"/>
      <c r="I78" s="118"/>
      <c r="J78" s="118"/>
      <c r="K78" s="118"/>
      <c r="L78" s="118"/>
      <c r="M78" s="118"/>
      <c r="N78" s="118"/>
      <c r="O78" s="118"/>
      <c r="P78" s="118"/>
    </row>
    <row r="79" spans="6:16" ht="11.1" customHeight="1" x14ac:dyDescent="0.2">
      <c r="F79" s="118"/>
      <c r="G79" s="118"/>
      <c r="H79" s="118"/>
      <c r="I79" s="118"/>
      <c r="J79" s="118"/>
      <c r="K79" s="118"/>
      <c r="L79" s="118"/>
      <c r="M79" s="118"/>
      <c r="N79" s="118"/>
      <c r="O79" s="118"/>
      <c r="P79" s="118"/>
    </row>
  </sheetData>
  <mergeCells count="9">
    <mergeCell ref="F42:G49"/>
    <mergeCell ref="J27:K34"/>
    <mergeCell ref="B1:H2"/>
    <mergeCell ref="B18:H18"/>
    <mergeCell ref="B25:L25"/>
    <mergeCell ref="B35:I35"/>
    <mergeCell ref="B3:I4"/>
    <mergeCell ref="B10:H10"/>
    <mergeCell ref="B13:J13"/>
  </mergeCells>
  <conditionalFormatting sqref="I37">
    <cfRule type="cellIs" dxfId="34" priority="7" stopIfTrue="1" operator="greaterThan">
      <formula>350</formula>
    </cfRule>
  </conditionalFormatting>
  <conditionalFormatting sqref="D37">
    <cfRule type="cellIs" dxfId="33" priority="4" operator="greaterThan">
      <formula>30</formula>
    </cfRule>
  </conditionalFormatting>
  <conditionalFormatting sqref="H37">
    <cfRule type="cellIs" dxfId="32" priority="8" stopIfTrue="1" operator="greaterThan">
      <formula>250</formula>
    </cfRule>
  </conditionalFormatting>
  <conditionalFormatting sqref="L37 C6:D6 L15">
    <cfRule type="cellIs" dxfId="31" priority="9" stopIfTrue="1" operator="greaterThan">
      <formula>300</formula>
    </cfRule>
  </conditionalFormatting>
  <conditionalFormatting sqref="F37">
    <cfRule type="cellIs" dxfId="30" priority="10" operator="greaterThan">
      <formula>100</formula>
    </cfRule>
  </conditionalFormatting>
  <conditionalFormatting sqref="G37">
    <cfRule type="cellIs" dxfId="29" priority="6" operator="greaterThan">
      <formula>100</formula>
    </cfRule>
  </conditionalFormatting>
  <conditionalFormatting sqref="C37">
    <cfRule type="cellIs" dxfId="28" priority="5" operator="greaterThan">
      <formula>150</formula>
    </cfRule>
  </conditionalFormatting>
  <conditionalFormatting sqref="D40">
    <cfRule type="cellIs" dxfId="27" priority="2" operator="greaterThan">
      <formula>100</formula>
    </cfRule>
  </conditionalFormatting>
  <conditionalFormatting sqref="E40">
    <cfRule type="cellIs" dxfId="26" priority="1" operator="greaterThan">
      <formula>100</formula>
    </cfRule>
  </conditionalFormatting>
  <pageMargins left="0.75" right="0.75" top="1" bottom="1" header="0.5" footer="0.5"/>
  <pageSetup orientation="landscape" horizontalDpi="4294967292" verticalDpi="4294967292" r:id="rId1"/>
  <ignoredErrors>
    <ignoredError sqref="I20"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Scratch!$J$7:$J$8</xm:f>
          </x14:formula1>
          <xm:sqref>E8 E11</xm:sqref>
        </x14:dataValidation>
        <x14:dataValidation type="list" allowBlank="1" showInputMessage="1" showErrorMessage="1">
          <x14:formula1>
            <xm:f>Scratch!$B$40:$B$48</xm:f>
          </x14:formula1>
          <xm:sqref>I9</xm:sqref>
        </x14:dataValidation>
        <x14:dataValidation type="list" allowBlank="1" showInputMessage="1" showErrorMessage="1">
          <x14:formula1>
            <xm:f>'Water Profiles'!$A$2:$A$40</xm:f>
          </x14:formula1>
          <xm:sqref>B11 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3"/>
  <sheetViews>
    <sheetView workbookViewId="0">
      <selection activeCell="B3" sqref="B3"/>
    </sheetView>
  </sheetViews>
  <sheetFormatPr defaultRowHeight="12.75" x14ac:dyDescent="0.2"/>
  <cols>
    <col min="1" max="1" width="0.75" style="142" customWidth="1"/>
    <col min="2" max="2" width="9" style="142"/>
    <col min="3" max="3" width="7" style="142" customWidth="1"/>
    <col min="4" max="4" width="10" style="142" customWidth="1"/>
    <col min="5" max="6" width="9" style="142"/>
    <col min="7" max="7" width="7.75" style="142" customWidth="1"/>
    <col min="8" max="8" width="7.625" style="142" customWidth="1"/>
    <col min="9" max="9" width="7.875" style="142" customWidth="1"/>
    <col min="10" max="12" width="9" style="142"/>
    <col min="13" max="13" width="9" style="142" customWidth="1"/>
    <col min="14" max="16384" width="9" style="142"/>
  </cols>
  <sheetData>
    <row r="1" spans="2:16" ht="5.25" customHeight="1" x14ac:dyDescent="0.2">
      <c r="E1" s="182" t="s">
        <v>223</v>
      </c>
      <c r="F1" s="183"/>
      <c r="G1" s="183"/>
      <c r="H1" s="183"/>
      <c r="I1" s="183"/>
      <c r="J1" s="183"/>
      <c r="K1" s="183"/>
      <c r="L1" s="183"/>
      <c r="M1" s="183"/>
    </row>
    <row r="2" spans="2:16" ht="24" customHeight="1" thickBot="1" x14ac:dyDescent="0.25">
      <c r="E2" s="184"/>
      <c r="F2" s="184"/>
      <c r="G2" s="184"/>
      <c r="H2" s="184"/>
      <c r="I2" s="184"/>
      <c r="J2" s="184"/>
      <c r="K2" s="184"/>
      <c r="L2" s="184"/>
      <c r="M2" s="184"/>
    </row>
    <row r="3" spans="2:16" x14ac:dyDescent="0.2">
      <c r="B3" s="158" t="str">
        <f>IF(Mash!I15="No Dilution","Fill the eHLT with "&amp;ROUND(IF(Mash!F6&lt;36,Mash!F6,Mash!G6),0)&amp;"L and go!","Mix "&amp;ROUND(IF(Mash!F6&lt;36,Mash!F6,Mash!G6)*(1-Mash!B15),0)&amp;"L ("&amp;ROUND(IF(Mash!F6&lt;36,Mash!F6,Mash!G6)*(1-Mash!B15)/3.78541178,1)&amp;"gal) of "&amp;Mash!B11&amp;" water with "&amp;ROUND(IF(Mash!F6&lt;36,Mash!F6,Mash!G6)*(Mash!B15),0)&amp;"L ("&amp;ROUND(IF(Mash!F6&lt;36,Mash!F6,Mash!G6)*(Mash!B15)/3.78541178,1)&amp;"gal) of "&amp;Mash!I15&amp;" water "&amp;IF(Mash!F6&lt;36,"and go!","water for the MASH."))</f>
        <v>Fill the eHLT with 39L and go!</v>
      </c>
      <c r="C3" s="159"/>
      <c r="D3" s="159"/>
      <c r="E3" s="159"/>
      <c r="F3" s="159"/>
      <c r="G3" s="159"/>
      <c r="H3" s="159"/>
      <c r="I3" s="159"/>
      <c r="J3" s="159"/>
      <c r="K3" s="159"/>
      <c r="L3" s="159"/>
      <c r="M3" s="159"/>
      <c r="N3" s="159"/>
      <c r="O3" s="159"/>
      <c r="P3" s="160"/>
    </row>
    <row r="4" spans="2:16" x14ac:dyDescent="0.2">
      <c r="B4" s="103"/>
      <c r="C4" s="161"/>
      <c r="D4" s="161"/>
      <c r="E4" s="161"/>
      <c r="F4" s="161"/>
      <c r="G4" s="161"/>
      <c r="H4" s="161"/>
      <c r="I4" s="161"/>
      <c r="J4" s="161"/>
      <c r="K4" s="161"/>
      <c r="L4" s="161"/>
      <c r="M4" s="161"/>
      <c r="N4" s="161"/>
      <c r="O4" s="161"/>
      <c r="P4" s="162"/>
    </row>
    <row r="5" spans="2:16" ht="13.5" thickBot="1" x14ac:dyDescent="0.25">
      <c r="B5" s="103" t="s">
        <v>173</v>
      </c>
      <c r="C5" s="161"/>
      <c r="D5" s="161"/>
      <c r="E5" s="161"/>
      <c r="F5" s="161"/>
      <c r="G5" s="161"/>
      <c r="H5" s="161"/>
      <c r="I5" s="161"/>
      <c r="J5" s="161"/>
      <c r="K5" s="161"/>
      <c r="L5" s="161"/>
      <c r="M5" s="161"/>
      <c r="N5" s="161"/>
      <c r="O5" s="161"/>
      <c r="P5" s="162"/>
    </row>
    <row r="6" spans="2:16" ht="52.5" thickTop="1" thickBot="1" x14ac:dyDescent="0.25">
      <c r="B6" s="163" t="str">
        <f>Mash!B19</f>
        <v>Salt Additions</v>
      </c>
      <c r="C6" s="58" t="s">
        <v>128</v>
      </c>
      <c r="D6" s="143" t="s">
        <v>129</v>
      </c>
      <c r="E6" s="58" t="s">
        <v>130</v>
      </c>
      <c r="F6" s="58" t="s">
        <v>131</v>
      </c>
      <c r="G6" s="58" t="s">
        <v>132</v>
      </c>
      <c r="H6" s="58" t="s">
        <v>117</v>
      </c>
      <c r="I6" s="58" t="s">
        <v>133</v>
      </c>
      <c r="J6" s="58" t="s">
        <v>134</v>
      </c>
      <c r="K6" s="161"/>
      <c r="L6" s="161"/>
      <c r="M6" s="161"/>
      <c r="N6" s="161"/>
      <c r="O6" s="161"/>
      <c r="P6" s="162"/>
    </row>
    <row r="7" spans="2:16" ht="23.25" customHeight="1" thickTop="1" thickBot="1" x14ac:dyDescent="0.25">
      <c r="B7" s="163" t="s">
        <v>174</v>
      </c>
      <c r="C7" s="58"/>
      <c r="D7" s="143"/>
      <c r="E7" s="58"/>
      <c r="F7" s="58"/>
      <c r="G7" s="58"/>
      <c r="H7" s="58"/>
      <c r="I7" s="58"/>
      <c r="J7" s="58"/>
      <c r="K7" s="161"/>
      <c r="L7" s="161"/>
      <c r="M7" s="161"/>
      <c r="N7" s="161"/>
      <c r="O7" s="161"/>
      <c r="P7" s="162"/>
    </row>
    <row r="8" spans="2:16" ht="14.25" thickTop="1" thickBot="1" x14ac:dyDescent="0.25">
      <c r="B8" s="164" t="str">
        <f>Mash!B20</f>
        <v>(grams)</v>
      </c>
      <c r="C8" s="141" t="str">
        <f>IF(Mash!C20=0,"",Mash!C20)</f>
        <v/>
      </c>
      <c r="D8" s="141">
        <f ca="1">IF(Mash!D20=0,"",Mash!D20)</f>
        <v>3.2852515921909253</v>
      </c>
      <c r="E8" s="141">
        <f ca="1">IF(Mash!E20=0,"",Mash!E20)</f>
        <v>6.0646166050827848</v>
      </c>
      <c r="F8" s="141" t="str">
        <f>IF(Mash!F20=0,"",Mash!F20)</f>
        <v/>
      </c>
      <c r="G8" s="141" t="str">
        <f>IF(Mash!G20=0,"",Mash!G20)</f>
        <v/>
      </c>
      <c r="H8" s="141" t="str">
        <f>IF(Mash!H20=0,"",Mash!H20)</f>
        <v/>
      </c>
      <c r="I8" s="141">
        <f ca="1">IF(Mash!I20=0,"",Mash!I20)</f>
        <v>1.8639721812116348</v>
      </c>
      <c r="J8" s="141" t="str">
        <f>IF(Mash!J20=0,"",Mash!J20)</f>
        <v/>
      </c>
      <c r="K8" s="161"/>
      <c r="L8" s="161"/>
      <c r="M8" s="161"/>
      <c r="N8" s="161"/>
      <c r="O8" s="161"/>
      <c r="P8" s="162"/>
    </row>
    <row r="9" spans="2:16" ht="25.5" thickTop="1" thickBot="1" x14ac:dyDescent="0.25">
      <c r="B9" s="164" t="str">
        <f>Mash!B21</f>
        <v>approx. 1/4 tsp</v>
      </c>
      <c r="C9" s="149" t="str">
        <f>IF(Mash!C21=0,"",Mash!C21)</f>
        <v/>
      </c>
      <c r="D9" s="149">
        <f ca="1">IF(Mash!D21=0,"",Mash!D21)</f>
        <v>3</v>
      </c>
      <c r="E9" s="149">
        <f ca="1">IF(Mash!E21=0,"",Mash!E21)</f>
        <v>7</v>
      </c>
      <c r="F9" s="149" t="str">
        <f>IF(Mash!F21=0,"",Mash!F21)</f>
        <v/>
      </c>
      <c r="G9" s="149" t="str">
        <f>IF(Mash!G21=0,"",Mash!G21)</f>
        <v/>
      </c>
      <c r="H9" s="149" t="str">
        <f>IF(Mash!H21=0,"",Mash!H21)</f>
        <v/>
      </c>
      <c r="I9" s="149">
        <f ca="1">IF(Mash!I21=0,"",Mash!I21)</f>
        <v>3</v>
      </c>
      <c r="J9" s="149" t="str">
        <f>IF(Mash!J21=0,"",Mash!J21)</f>
        <v/>
      </c>
      <c r="K9" s="161"/>
      <c r="L9" s="161"/>
      <c r="M9" s="161"/>
      <c r="N9" s="161"/>
      <c r="O9" s="161"/>
      <c r="P9" s="162"/>
    </row>
    <row r="10" spans="2:16" ht="13.5" thickTop="1" x14ac:dyDescent="0.2">
      <c r="B10" s="165"/>
      <c r="C10" s="150"/>
      <c r="D10" s="150"/>
      <c r="E10" s="150"/>
      <c r="F10" s="150"/>
      <c r="G10" s="150"/>
      <c r="H10" s="150"/>
      <c r="I10" s="150"/>
      <c r="J10" s="150"/>
      <c r="K10" s="161"/>
      <c r="L10" s="161"/>
      <c r="M10" s="161"/>
      <c r="N10" s="161"/>
      <c r="O10" s="161"/>
      <c r="P10" s="162"/>
    </row>
    <row r="11" spans="2:16" x14ac:dyDescent="0.2">
      <c r="B11" s="103" t="str">
        <f ca="1">"After 10 minutes check the pH."&amp;IF(Mash!F27&gt;0.05," Add a mixture of "&amp;ROUND(Mash!F27,1)&amp;" mL 2N HCl and "&amp;ROUND(Mash!F30,1)&amp;" mL 2N H2SO4 if needed.","")</f>
        <v>After 10 minutes check the pH.</v>
      </c>
      <c r="C11" s="161"/>
      <c r="D11" s="161"/>
      <c r="E11" s="161"/>
      <c r="F11" s="161"/>
      <c r="G11" s="161"/>
      <c r="H11" s="161"/>
      <c r="I11" s="161"/>
      <c r="J11" s="161"/>
      <c r="K11" s="161"/>
      <c r="L11" s="161"/>
      <c r="M11" s="161"/>
      <c r="N11" s="161"/>
      <c r="O11" s="161"/>
      <c r="P11" s="162"/>
    </row>
    <row r="12" spans="2:16" x14ac:dyDescent="0.2">
      <c r="B12" s="103"/>
      <c r="C12" s="161"/>
      <c r="D12" s="161"/>
      <c r="E12" s="161"/>
      <c r="F12" s="161"/>
      <c r="G12" s="161"/>
      <c r="H12" s="161"/>
      <c r="I12" s="161"/>
      <c r="J12" s="161"/>
      <c r="K12" s="161"/>
      <c r="L12" s="161"/>
      <c r="M12" s="161"/>
      <c r="N12" s="161"/>
      <c r="O12" s="161"/>
      <c r="P12" s="162"/>
    </row>
    <row r="13" spans="2:16" x14ac:dyDescent="0.2">
      <c r="B13" s="166" t="str">
        <f>IF(OR(Mash!I15="No Dilution",Mash!F6&lt;36),"Make sure eHLT has at least "&amp;ROUND(Mash!F6-Mash!G6,0)&amp;"L ("&amp;ROUND((Mash!F6-Mash!G6)/3.78541178,1)&amp;"gal) of ","Mix "&amp;ROUND((Mash!F6-Mash!G6)*(1-Mash!B15),0)&amp;"L ("&amp;ROUND((Mash!F6-Mash!G6)*(1-Mash!B15)/3.78541178,1)&amp;"gal) of "&amp;Mash!B11&amp;" water with "&amp;ROUND((Mash!F6-Mash!G6)*Mash!B15,0)&amp;"L ("&amp;ROUND((Mash!F6-Mash!G6)*Mash!B15/3.78541178,1)&amp;"gal) of "&amp;Mash!I15&amp;"")&amp;"water and set it to 170°F (77°C)."</f>
        <v>Make sure eHLT has at least 21L (5.5gal) of water and set it to 170°F (77°C).</v>
      </c>
      <c r="C13" s="39"/>
      <c r="D13" s="161"/>
      <c r="E13" s="161"/>
      <c r="F13" s="161"/>
      <c r="G13" s="161"/>
      <c r="H13" s="161"/>
      <c r="I13" s="161"/>
      <c r="J13" s="161"/>
      <c r="K13" s="161"/>
      <c r="L13" s="161"/>
      <c r="M13" s="161"/>
      <c r="N13" s="161"/>
      <c r="O13" s="161"/>
      <c r="P13" s="162"/>
    </row>
    <row r="14" spans="2:16" x14ac:dyDescent="0.2">
      <c r="B14" s="166"/>
      <c r="C14" s="39"/>
      <c r="D14" s="161"/>
      <c r="E14" s="161"/>
      <c r="F14" s="161"/>
      <c r="G14" s="161"/>
      <c r="H14" s="161"/>
      <c r="I14" s="161"/>
      <c r="J14" s="161"/>
      <c r="K14" s="161"/>
      <c r="L14" s="161"/>
      <c r="M14" s="161"/>
      <c r="N14" s="161"/>
      <c r="O14" s="161"/>
      <c r="P14" s="162"/>
    </row>
    <row r="15" spans="2:16" x14ac:dyDescent="0.2">
      <c r="B15" s="166" t="str">
        <f ca="1">"Acidify the sparge water with "&amp;IF(P19&lt;1,ROUND(Mash!D43,1)&amp;" mL of 2N hydrochloric.",ROUND(Mash!D46,1)&amp;" mL of 2N sulfuric acid.")</f>
        <v>Acidify the sparge water with 9.5 mL of 2N hydrochloric.</v>
      </c>
      <c r="C15" s="39"/>
      <c r="D15" s="161"/>
      <c r="E15" s="161"/>
      <c r="F15" s="161"/>
      <c r="G15" s="161"/>
      <c r="H15" s="39"/>
      <c r="I15" s="39"/>
      <c r="J15" s="161"/>
      <c r="K15" s="161"/>
      <c r="L15" s="161"/>
      <c r="M15" s="161"/>
      <c r="N15" s="161"/>
      <c r="O15" s="161"/>
      <c r="P15" s="162"/>
    </row>
    <row r="16" spans="2:16" x14ac:dyDescent="0.2">
      <c r="B16" s="166"/>
      <c r="C16" s="39"/>
      <c r="D16" s="161"/>
      <c r="E16" s="161"/>
      <c r="F16" s="161"/>
      <c r="G16" s="161"/>
      <c r="H16" s="39"/>
      <c r="I16" s="39"/>
      <c r="J16" s="161"/>
      <c r="K16" s="161"/>
      <c r="L16" s="161"/>
      <c r="M16" s="161"/>
      <c r="N16" s="161"/>
      <c r="O16" s="161"/>
      <c r="P16" s="162"/>
    </row>
    <row r="17" spans="2:16" ht="13.5" thickBot="1" x14ac:dyDescent="0.25">
      <c r="B17" s="103" t="str">
        <f>"Suggested sparge rate is "&amp;ROUND((Mash!F6)/45,2)&amp;" LPM ("&amp;ROUND((Mash!F6)/45*(60/3.78541),1)&amp;" GPH)"</f>
        <v>Suggested sparge rate is 1.33 LPM (21.1 GPH)</v>
      </c>
      <c r="C17" s="161"/>
      <c r="D17" s="161"/>
      <c r="E17" s="161"/>
      <c r="F17" s="161"/>
      <c r="G17" s="161"/>
      <c r="H17" s="161"/>
      <c r="I17" s="161"/>
      <c r="J17" s="161"/>
      <c r="K17" s="161"/>
      <c r="L17" s="161"/>
      <c r="M17" s="161"/>
      <c r="N17" s="161"/>
      <c r="O17" s="161"/>
      <c r="P17" s="162"/>
    </row>
    <row r="18" spans="2:16" ht="38.25" thickBot="1" x14ac:dyDescent="0.25">
      <c r="B18" s="148" t="s">
        <v>177</v>
      </c>
      <c r="C18" s="21" t="s">
        <v>135</v>
      </c>
      <c r="D18" s="21" t="s">
        <v>136</v>
      </c>
      <c r="E18" s="21" t="s">
        <v>145</v>
      </c>
      <c r="F18" s="21" t="s">
        <v>146</v>
      </c>
      <c r="G18" s="21" t="s">
        <v>137</v>
      </c>
      <c r="H18" s="21" t="s">
        <v>138</v>
      </c>
      <c r="I18" s="21" t="s">
        <v>139</v>
      </c>
      <c r="J18" s="21" t="s">
        <v>147</v>
      </c>
      <c r="K18" s="21" t="s">
        <v>148</v>
      </c>
      <c r="L18" s="21" t="s">
        <v>140</v>
      </c>
      <c r="M18" s="21" t="s">
        <v>62</v>
      </c>
      <c r="N18" s="21" t="s">
        <v>69</v>
      </c>
      <c r="O18" s="21" t="s">
        <v>0</v>
      </c>
      <c r="P18" s="21" t="s">
        <v>0</v>
      </c>
    </row>
    <row r="19" spans="2:16" ht="13.5" thickBot="1" x14ac:dyDescent="0.25">
      <c r="B19" s="21" t="s">
        <v>178</v>
      </c>
      <c r="C19" s="145">
        <f ca="1">Mash!C37</f>
        <v>107.85344665083916</v>
      </c>
      <c r="D19" s="145">
        <f ca="1">Mash!D37</f>
        <v>1</v>
      </c>
      <c r="E19" s="145">
        <f ca="1">Mash!E37</f>
        <v>117.50589395798239</v>
      </c>
      <c r="F19" s="145">
        <f ca="1">Mash!F37</f>
        <v>117.50589395798239</v>
      </c>
      <c r="G19" s="145">
        <f ca="1">Mash!G37</f>
        <v>5</v>
      </c>
      <c r="H19" s="145">
        <f ca="1">Mash!H37</f>
        <v>79.999999999999986</v>
      </c>
      <c r="I19" s="145">
        <f ca="1">Mash!I37</f>
        <v>48</v>
      </c>
      <c r="J19" s="145">
        <f ca="1">Mash!J37</f>
        <v>273.76584803205662</v>
      </c>
      <c r="K19" s="145">
        <f ca="1">Mash!K37</f>
        <v>77.626411473288485</v>
      </c>
      <c r="L19" s="145">
        <f ca="1">Mash!L37</f>
        <v>39.879482484693909</v>
      </c>
      <c r="M19" s="145">
        <f ca="1">Mash!M37</f>
        <v>8.4701175637449015</v>
      </c>
      <c r="N19" s="146">
        <f ca="1">Mash!N37</f>
        <v>13.301596924974913</v>
      </c>
      <c r="O19" s="146" t="str">
        <f ca="1">Mash!O37</f>
        <v>Malty</v>
      </c>
      <c r="P19" s="147">
        <f ca="1">Mash!P37</f>
        <v>0.60000000000000009</v>
      </c>
    </row>
    <row r="20" spans="2:16" ht="13.5" thickBot="1" x14ac:dyDescent="0.25">
      <c r="B20" s="144" t="s">
        <v>176</v>
      </c>
      <c r="C20" s="145">
        <f ca="1">Mash!C15</f>
        <v>20</v>
      </c>
      <c r="D20" s="145">
        <f ca="1">Mash!D15</f>
        <v>1</v>
      </c>
      <c r="E20" s="145">
        <f ca="1">Mash!E15*51/60</f>
        <v>45.05</v>
      </c>
      <c r="F20" s="145">
        <f ca="1">Mash!E15*51/60-(50*Mash!D43*Mash!C43*(1+((Mash!C43/Scratch!S28)*Scratch!R28))*1000)/(Scratch!B28*Mash!D40)</f>
        <v>-2.1220935111016175</v>
      </c>
      <c r="G20" s="145">
        <f ca="1">Mash!F15</f>
        <v>5</v>
      </c>
      <c r="H20" s="145">
        <f ca="1">Mash!G15+IF(P19&lt;1,Mash!E43*(1-P19/(1+P19)),0)</f>
        <v>25.903133937106908</v>
      </c>
      <c r="I20" s="145">
        <f ca="1">Mash!H15+IF(P19&lt;1,0,Mash!E46*(P19/(1+P19)))</f>
        <v>1</v>
      </c>
      <c r="J20" s="145">
        <f ca="1">C20*50/20+D20*50/12.1</f>
        <v>54.132231404958681</v>
      </c>
      <c r="K20" s="145">
        <f ca="1">Mash!K15</f>
        <v>14.873949579831933</v>
      </c>
      <c r="L20" s="145">
        <f ca="1">F20-K20</f>
        <v>-16.996043090933551</v>
      </c>
      <c r="M20" s="145">
        <f ca="1">IF(L20&lt;-69,0,L20*0.082+5.2)</f>
        <v>3.8063244665434492</v>
      </c>
      <c r="N20" s="146">
        <f ca="1">IF(L20&lt;-128,0,(L20+122.4)/12.2)</f>
        <v>8.6396685991038087</v>
      </c>
      <c r="O20" s="146" t="str">
        <f ca="1">VLOOKUP(P20,Scratch!A39:B51,2,TRUE)</f>
        <v>Too Malty</v>
      </c>
      <c r="P20" s="147">
        <f ca="1">I20/H20</f>
        <v>3.8605367305284792E-2</v>
      </c>
    </row>
    <row r="21" spans="2:16" ht="13.5" thickBot="1" x14ac:dyDescent="0.25">
      <c r="B21" s="144" t="s">
        <v>179</v>
      </c>
      <c r="C21" s="145">
        <f ca="1">(C19*Mash!$G$6+Summary!C20*(Mash!$F$6-Mash!$G$6))/Mash!$F$6</f>
        <v>77.295726076634224</v>
      </c>
      <c r="D21" s="145">
        <f ca="1">(D19*Mash!$G$6+Summary!D20*(Mash!$F$6-Mash!$G$6))/Mash!$F$6</f>
        <v>1</v>
      </c>
      <c r="E21" s="145">
        <f ca="1">(E19*Mash!$G$6+Summary!E20*(Mash!$F$6-Mash!$G$6))/Mash!$F$6</f>
        <v>92.303843885640688</v>
      </c>
      <c r="F21" s="145">
        <f ca="1">(F19*Mash!$G$6+Summary!F20*(Mash!$F$6-Mash!$G$6))/Mash!$F$6</f>
        <v>75.896159186127079</v>
      </c>
      <c r="G21" s="145">
        <f ca="1">(G19*Mash!$G$6+Summary!G20*(Mash!$F$6-Mash!$G$6))/Mash!$F$6</f>
        <v>5</v>
      </c>
      <c r="H21" s="145">
        <f ca="1">(H19*Mash!$G$6+Summary!H20*(Mash!$F$6-Mash!$G$6))/Mash!$F$6</f>
        <v>61.183698760732831</v>
      </c>
      <c r="I21" s="145">
        <f ca="1">(I19*Mash!$G$6+Summary!I20*(Mash!$F$6-Mash!$G$6))/Mash!$F$6</f>
        <v>31.65217391304348</v>
      </c>
      <c r="J21" s="145">
        <f ca="1">(J19*Mash!$G$6+Summary!J20*(Mash!$F$6-Mash!$G$6))/Mash!$F$6</f>
        <v>197.37154659654431</v>
      </c>
      <c r="K21" s="145">
        <f ca="1">(K19*Mash!$G$6+Summary!K20*(Mash!$F$6-Mash!$G$6))/Mash!$F$6</f>
        <v>55.799468205999254</v>
      </c>
      <c r="L21" s="145">
        <f ca="1">(L19*Mash!$G$6+Summary!L20*(Mash!$F$6-Mash!$G$6))/Mash!$F$6</f>
        <v>20.096690980127836</v>
      </c>
      <c r="M21" s="145">
        <f ca="1">(M19*Mash!$G$6+Summary!M20*(Mash!$F$6-Mash!$G$6))/Mash!$F$6</f>
        <v>6.8479286603704823</v>
      </c>
      <c r="N21" s="145">
        <f ca="1">(N19*Mash!$G$6+Summary!N20*(Mash!$F$6-Mash!$G$6))/Mash!$F$6</f>
        <v>11.680056637715397</v>
      </c>
      <c r="O21" s="146" t="str">
        <f ca="1">VLOOKUP(P21,Scratch!A40:B52,2,TRUE)</f>
        <v>Very Malty</v>
      </c>
      <c r="P21" s="147">
        <f ca="1">I21/H21</f>
        <v>0.51733018032831923</v>
      </c>
    </row>
    <row r="23" spans="2:16" ht="12.75" customHeight="1" x14ac:dyDescent="0.2">
      <c r="B23" s="181" t="s">
        <v>149</v>
      </c>
      <c r="C23" s="181"/>
      <c r="D23" s="181"/>
      <c r="E23" s="181"/>
      <c r="F23" s="181"/>
      <c r="G23" s="181"/>
      <c r="H23" s="181"/>
      <c r="I23" s="181"/>
      <c r="J23" s="181"/>
      <c r="K23" s="181"/>
      <c r="L23" s="181"/>
    </row>
    <row r="24" spans="2:16" ht="12.75" customHeight="1" x14ac:dyDescent="0.2">
      <c r="B24" s="181"/>
      <c r="C24" s="181"/>
      <c r="D24" s="181"/>
      <c r="E24" s="181"/>
      <c r="F24" s="181"/>
      <c r="G24" s="181"/>
      <c r="H24" s="181"/>
      <c r="I24" s="181"/>
      <c r="J24" s="181"/>
      <c r="K24" s="181"/>
      <c r="L24" s="181"/>
    </row>
    <row r="25" spans="2:16" ht="12.75" customHeight="1" x14ac:dyDescent="0.2">
      <c r="B25" s="181"/>
      <c r="C25" s="181"/>
      <c r="D25" s="181"/>
      <c r="E25" s="181"/>
      <c r="F25" s="181"/>
      <c r="G25" s="181"/>
      <c r="H25" s="181"/>
      <c r="I25" s="181"/>
      <c r="J25" s="181"/>
      <c r="K25" s="181"/>
      <c r="L25" s="181"/>
    </row>
    <row r="26" spans="2:16" ht="12.75" customHeight="1" x14ac:dyDescent="0.2">
      <c r="B26" s="181"/>
      <c r="C26" s="181"/>
      <c r="D26" s="181"/>
      <c r="E26" s="181"/>
      <c r="F26" s="181"/>
      <c r="G26" s="181"/>
      <c r="H26" s="181"/>
      <c r="I26" s="181"/>
      <c r="J26" s="181"/>
      <c r="K26" s="181"/>
      <c r="L26" s="181"/>
    </row>
    <row r="27" spans="2:16" ht="12.75" customHeight="1" x14ac:dyDescent="0.2">
      <c r="B27" s="181"/>
      <c r="C27" s="181"/>
      <c r="D27" s="181"/>
      <c r="E27" s="181"/>
      <c r="F27" s="181"/>
      <c r="G27" s="181"/>
      <c r="H27" s="181"/>
      <c r="I27" s="181"/>
      <c r="J27" s="181"/>
      <c r="K27" s="181"/>
      <c r="L27" s="181"/>
    </row>
    <row r="28" spans="2:16" ht="12.75" customHeight="1" x14ac:dyDescent="0.2">
      <c r="B28" s="181"/>
      <c r="C28" s="181"/>
      <c r="D28" s="181"/>
      <c r="E28" s="181"/>
      <c r="F28" s="181"/>
      <c r="G28" s="181"/>
      <c r="H28" s="181"/>
      <c r="I28" s="181"/>
      <c r="J28" s="181"/>
      <c r="K28" s="181"/>
      <c r="L28" s="181"/>
    </row>
    <row r="29" spans="2:16" ht="12.75" customHeight="1" x14ac:dyDescent="0.2">
      <c r="B29" s="181"/>
      <c r="C29" s="181"/>
      <c r="D29" s="181"/>
      <c r="E29" s="181"/>
      <c r="F29" s="181"/>
      <c r="G29" s="181"/>
      <c r="H29" s="181"/>
      <c r="I29" s="181"/>
      <c r="J29" s="181"/>
      <c r="K29" s="181"/>
      <c r="L29" s="181"/>
    </row>
    <row r="30" spans="2:16" ht="12.75" customHeight="1" x14ac:dyDescent="0.2">
      <c r="B30" s="181"/>
      <c r="C30" s="181"/>
      <c r="D30" s="181"/>
      <c r="E30" s="181"/>
      <c r="F30" s="181"/>
      <c r="G30" s="181"/>
      <c r="H30" s="181"/>
      <c r="I30" s="181"/>
      <c r="J30" s="181"/>
      <c r="K30" s="181"/>
      <c r="L30" s="181"/>
    </row>
    <row r="31" spans="2:16" ht="12.75" customHeight="1" x14ac:dyDescent="0.2">
      <c r="B31" s="181"/>
      <c r="C31" s="181"/>
      <c r="D31" s="181"/>
      <c r="E31" s="181"/>
      <c r="F31" s="181"/>
      <c r="G31" s="181"/>
      <c r="H31" s="181"/>
      <c r="I31" s="181"/>
      <c r="J31" s="181"/>
      <c r="K31" s="181"/>
      <c r="L31" s="181"/>
    </row>
    <row r="32" spans="2:16" ht="12.75" customHeight="1" x14ac:dyDescent="0.2">
      <c r="B32" s="181"/>
      <c r="C32" s="181"/>
      <c r="D32" s="181"/>
      <c r="E32" s="181"/>
      <c r="F32" s="181"/>
      <c r="G32" s="181"/>
      <c r="H32" s="181"/>
      <c r="I32" s="181"/>
      <c r="J32" s="181"/>
      <c r="K32" s="181"/>
      <c r="L32" s="181"/>
    </row>
    <row r="33" spans="2:12" ht="12.75" customHeight="1" x14ac:dyDescent="0.2">
      <c r="B33" s="181"/>
      <c r="C33" s="181"/>
      <c r="D33" s="181"/>
      <c r="E33" s="181"/>
      <c r="F33" s="181"/>
      <c r="G33" s="181"/>
      <c r="H33" s="181"/>
      <c r="I33" s="181"/>
      <c r="J33" s="181"/>
      <c r="K33" s="181"/>
      <c r="L33" s="181"/>
    </row>
    <row r="34" spans="2:12" ht="12.75" customHeight="1" x14ac:dyDescent="0.2">
      <c r="B34" s="181"/>
      <c r="C34" s="181"/>
      <c r="D34" s="181"/>
      <c r="E34" s="181"/>
      <c r="F34" s="181"/>
      <c r="G34" s="181"/>
      <c r="H34" s="181"/>
      <c r="I34" s="181"/>
      <c r="J34" s="181"/>
      <c r="K34" s="181"/>
      <c r="L34" s="181"/>
    </row>
    <row r="35" spans="2:12" ht="12.75" customHeight="1" x14ac:dyDescent="0.2">
      <c r="B35" s="181"/>
      <c r="C35" s="181"/>
      <c r="D35" s="181"/>
      <c r="E35" s="181"/>
      <c r="F35" s="181"/>
      <c r="G35" s="181"/>
      <c r="H35" s="181"/>
      <c r="I35" s="181"/>
      <c r="J35" s="181"/>
      <c r="K35" s="181"/>
      <c r="L35" s="181"/>
    </row>
    <row r="36" spans="2:12" ht="12.75" customHeight="1" x14ac:dyDescent="0.2">
      <c r="B36" s="181"/>
      <c r="C36" s="181"/>
      <c r="D36" s="181"/>
      <c r="E36" s="181"/>
      <c r="F36" s="181"/>
      <c r="G36" s="181"/>
      <c r="H36" s="181"/>
      <c r="I36" s="181"/>
      <c r="J36" s="181"/>
      <c r="K36" s="181"/>
      <c r="L36" s="181"/>
    </row>
    <row r="37" spans="2:12" ht="12.75" customHeight="1" x14ac:dyDescent="0.2">
      <c r="B37" s="181"/>
      <c r="C37" s="181"/>
      <c r="D37" s="181"/>
      <c r="E37" s="181"/>
      <c r="F37" s="181"/>
      <c r="G37" s="181"/>
      <c r="H37" s="181"/>
      <c r="I37" s="181"/>
      <c r="J37" s="181"/>
      <c r="K37" s="181"/>
      <c r="L37" s="181"/>
    </row>
    <row r="38" spans="2:12" ht="12.75" customHeight="1" x14ac:dyDescent="0.2">
      <c r="B38" s="181"/>
      <c r="C38" s="181"/>
      <c r="D38" s="181"/>
      <c r="E38" s="181"/>
      <c r="F38" s="181"/>
      <c r="G38" s="181"/>
      <c r="H38" s="181"/>
      <c r="I38" s="181"/>
      <c r="J38" s="181"/>
      <c r="K38" s="181"/>
      <c r="L38" s="181"/>
    </row>
    <row r="39" spans="2:12" ht="12.75" customHeight="1" x14ac:dyDescent="0.2">
      <c r="B39" s="181"/>
      <c r="C39" s="181"/>
      <c r="D39" s="181"/>
      <c r="E39" s="181"/>
      <c r="F39" s="181"/>
      <c r="G39" s="181"/>
      <c r="H39" s="181"/>
      <c r="I39" s="181"/>
      <c r="J39" s="181"/>
      <c r="K39" s="181"/>
      <c r="L39" s="181"/>
    </row>
    <row r="40" spans="2:12" ht="12.75" customHeight="1" x14ac:dyDescent="0.2">
      <c r="B40" s="181"/>
      <c r="C40" s="181"/>
      <c r="D40" s="181"/>
      <c r="E40" s="181"/>
      <c r="F40" s="181"/>
      <c r="G40" s="181"/>
      <c r="H40" s="181"/>
      <c r="I40" s="181"/>
      <c r="J40" s="181"/>
      <c r="K40" s="181"/>
      <c r="L40" s="181"/>
    </row>
    <row r="41" spans="2:12" ht="12.75" customHeight="1" x14ac:dyDescent="0.2">
      <c r="B41" s="181"/>
      <c r="C41" s="181"/>
      <c r="D41" s="181"/>
      <c r="E41" s="181"/>
      <c r="F41" s="181"/>
      <c r="G41" s="181"/>
      <c r="H41" s="181"/>
      <c r="I41" s="181"/>
      <c r="J41" s="181"/>
      <c r="K41" s="181"/>
      <c r="L41" s="181"/>
    </row>
    <row r="42" spans="2:12" ht="12.75" customHeight="1" x14ac:dyDescent="0.2">
      <c r="B42" s="181"/>
      <c r="C42" s="181"/>
      <c r="D42" s="181"/>
      <c r="E42" s="181"/>
      <c r="F42" s="181"/>
      <c r="G42" s="181"/>
      <c r="H42" s="181"/>
      <c r="I42" s="181"/>
      <c r="J42" s="181"/>
      <c r="K42" s="181"/>
      <c r="L42" s="181"/>
    </row>
    <row r="43" spans="2:12" ht="12.75" customHeight="1" x14ac:dyDescent="0.2">
      <c r="B43" s="181"/>
      <c r="C43" s="181"/>
      <c r="D43" s="181"/>
      <c r="E43" s="181"/>
      <c r="F43" s="181"/>
      <c r="G43" s="181"/>
      <c r="H43" s="181"/>
      <c r="I43" s="181"/>
      <c r="J43" s="181"/>
      <c r="K43" s="181"/>
      <c r="L43" s="181"/>
    </row>
    <row r="44" spans="2:12" ht="12.75" customHeight="1" x14ac:dyDescent="0.2">
      <c r="B44" s="181"/>
      <c r="C44" s="181"/>
      <c r="D44" s="181"/>
      <c r="E44" s="181"/>
      <c r="F44" s="181"/>
      <c r="G44" s="181"/>
      <c r="H44" s="181"/>
      <c r="I44" s="181"/>
      <c r="J44" s="181"/>
      <c r="K44" s="181"/>
      <c r="L44" s="181"/>
    </row>
    <row r="45" spans="2:12" ht="12.75" customHeight="1" x14ac:dyDescent="0.2">
      <c r="B45" s="181"/>
      <c r="C45" s="181"/>
      <c r="D45" s="181"/>
      <c r="E45" s="181"/>
      <c r="F45" s="181"/>
      <c r="G45" s="181"/>
      <c r="H45" s="181"/>
      <c r="I45" s="181"/>
      <c r="J45" s="181"/>
      <c r="K45" s="181"/>
      <c r="L45" s="181"/>
    </row>
    <row r="46" spans="2:12" ht="12.75" customHeight="1" x14ac:dyDescent="0.2">
      <c r="B46" s="181"/>
      <c r="C46" s="181"/>
      <c r="D46" s="181"/>
      <c r="E46" s="181"/>
      <c r="F46" s="181"/>
      <c r="G46" s="181"/>
      <c r="H46" s="181"/>
      <c r="I46" s="181"/>
      <c r="J46" s="181"/>
      <c r="K46" s="181"/>
      <c r="L46" s="181"/>
    </row>
    <row r="47" spans="2:12" ht="12.75" customHeight="1" x14ac:dyDescent="0.2">
      <c r="B47" s="181"/>
      <c r="C47" s="181"/>
      <c r="D47" s="181"/>
      <c r="E47" s="181"/>
      <c r="F47" s="181"/>
      <c r="G47" s="181"/>
      <c r="H47" s="181"/>
      <c r="I47" s="181"/>
      <c r="J47" s="181"/>
      <c r="K47" s="181"/>
      <c r="L47" s="181"/>
    </row>
    <row r="48" spans="2:12" ht="12.75" customHeight="1" x14ac:dyDescent="0.2">
      <c r="B48" s="181"/>
      <c r="C48" s="181"/>
      <c r="D48" s="181"/>
      <c r="E48" s="181"/>
      <c r="F48" s="181"/>
      <c r="G48" s="181"/>
      <c r="H48" s="181"/>
      <c r="I48" s="181"/>
      <c r="J48" s="181"/>
      <c r="K48" s="181"/>
      <c r="L48" s="181"/>
    </row>
    <row r="49" spans="2:12" ht="12.75" customHeight="1" x14ac:dyDescent="0.2">
      <c r="B49" s="181"/>
      <c r="C49" s="181"/>
      <c r="D49" s="181"/>
      <c r="E49" s="181"/>
      <c r="F49" s="181"/>
      <c r="G49" s="181"/>
      <c r="H49" s="181"/>
      <c r="I49" s="181"/>
      <c r="J49" s="181"/>
      <c r="K49" s="181"/>
      <c r="L49" s="181"/>
    </row>
    <row r="50" spans="2:12" ht="12.75" customHeight="1" x14ac:dyDescent="0.2">
      <c r="B50" s="181"/>
      <c r="C50" s="181"/>
      <c r="D50" s="181"/>
      <c r="E50" s="181"/>
      <c r="F50" s="181"/>
      <c r="G50" s="181"/>
      <c r="H50" s="181"/>
      <c r="I50" s="181"/>
      <c r="J50" s="181"/>
      <c r="K50" s="181"/>
      <c r="L50" s="181"/>
    </row>
    <row r="51" spans="2:12" ht="12.75" customHeight="1" x14ac:dyDescent="0.2">
      <c r="B51" s="181"/>
      <c r="C51" s="181"/>
      <c r="D51" s="181"/>
      <c r="E51" s="181"/>
      <c r="F51" s="181"/>
      <c r="G51" s="181"/>
      <c r="H51" s="181"/>
      <c r="I51" s="181"/>
      <c r="J51" s="181"/>
      <c r="K51" s="181"/>
      <c r="L51" s="181"/>
    </row>
    <row r="52" spans="2:12" ht="12.75" customHeight="1" x14ac:dyDescent="0.2">
      <c r="B52" s="181"/>
      <c r="C52" s="181"/>
      <c r="D52" s="181"/>
      <c r="E52" s="181"/>
      <c r="F52" s="181"/>
      <c r="G52" s="181"/>
      <c r="H52" s="181"/>
      <c r="I52" s="181"/>
      <c r="J52" s="181"/>
      <c r="K52" s="181"/>
      <c r="L52" s="181"/>
    </row>
    <row r="53" spans="2:12" ht="12.75" customHeight="1" x14ac:dyDescent="0.2">
      <c r="B53" s="181"/>
      <c r="C53" s="181"/>
      <c r="D53" s="181"/>
      <c r="E53" s="181"/>
      <c r="F53" s="181"/>
      <c r="G53" s="181"/>
      <c r="H53" s="181"/>
      <c r="I53" s="181"/>
      <c r="J53" s="181"/>
      <c r="K53" s="181"/>
      <c r="L53" s="181"/>
    </row>
    <row r="54" spans="2:12" ht="12.75" customHeight="1" x14ac:dyDescent="0.2">
      <c r="B54" s="181"/>
      <c r="C54" s="181"/>
      <c r="D54" s="181"/>
      <c r="E54" s="181"/>
      <c r="F54" s="181"/>
      <c r="G54" s="181"/>
      <c r="H54" s="181"/>
      <c r="I54" s="181"/>
      <c r="J54" s="181"/>
      <c r="K54" s="181"/>
      <c r="L54" s="181"/>
    </row>
    <row r="55" spans="2:12" ht="12.75" customHeight="1" x14ac:dyDescent="0.2">
      <c r="B55" s="181"/>
      <c r="C55" s="181"/>
      <c r="D55" s="181"/>
      <c r="E55" s="181"/>
      <c r="F55" s="181"/>
      <c r="G55" s="181"/>
      <c r="H55" s="181"/>
      <c r="I55" s="181"/>
      <c r="J55" s="181"/>
      <c r="K55" s="181"/>
      <c r="L55" s="181"/>
    </row>
    <row r="56" spans="2:12" ht="12.75" customHeight="1" x14ac:dyDescent="0.2">
      <c r="B56" s="181"/>
      <c r="C56" s="181"/>
      <c r="D56" s="181"/>
      <c r="E56" s="181"/>
      <c r="F56" s="181"/>
      <c r="G56" s="181"/>
      <c r="H56" s="181"/>
      <c r="I56" s="181"/>
      <c r="J56" s="181"/>
      <c r="K56" s="181"/>
      <c r="L56" s="181"/>
    </row>
    <row r="57" spans="2:12" ht="12.75" customHeight="1" x14ac:dyDescent="0.2">
      <c r="B57" s="181"/>
      <c r="C57" s="181"/>
      <c r="D57" s="181"/>
      <c r="E57" s="181"/>
      <c r="F57" s="181"/>
      <c r="G57" s="181"/>
      <c r="H57" s="181"/>
      <c r="I57" s="181"/>
      <c r="J57" s="181"/>
      <c r="K57" s="181"/>
      <c r="L57" s="181"/>
    </row>
    <row r="58" spans="2:12" ht="12.75" customHeight="1" x14ac:dyDescent="0.2">
      <c r="B58" s="181"/>
      <c r="C58" s="181"/>
      <c r="D58" s="181"/>
      <c r="E58" s="181"/>
      <c r="F58" s="181"/>
      <c r="G58" s="181"/>
      <c r="H58" s="181"/>
      <c r="I58" s="181"/>
      <c r="J58" s="181"/>
      <c r="K58" s="181"/>
      <c r="L58" s="181"/>
    </row>
    <row r="59" spans="2:12" ht="12.75" customHeight="1" x14ac:dyDescent="0.2">
      <c r="B59" s="181"/>
      <c r="C59" s="181"/>
      <c r="D59" s="181"/>
      <c r="E59" s="181"/>
      <c r="F59" s="181"/>
      <c r="G59" s="181"/>
      <c r="H59" s="181"/>
      <c r="I59" s="181"/>
      <c r="J59" s="181"/>
      <c r="K59" s="181"/>
      <c r="L59" s="181"/>
    </row>
    <row r="60" spans="2:12" ht="12.75" customHeight="1" x14ac:dyDescent="0.2">
      <c r="B60" s="181"/>
      <c r="C60" s="181"/>
      <c r="D60" s="181"/>
      <c r="E60" s="181"/>
      <c r="F60" s="181"/>
      <c r="G60" s="181"/>
      <c r="H60" s="181"/>
      <c r="I60" s="181"/>
      <c r="J60" s="181"/>
      <c r="K60" s="181"/>
      <c r="L60" s="181"/>
    </row>
    <row r="61" spans="2:12" ht="12.75" customHeight="1" x14ac:dyDescent="0.2">
      <c r="B61" s="181"/>
      <c r="C61" s="181"/>
      <c r="D61" s="181"/>
      <c r="E61" s="181"/>
      <c r="F61" s="181"/>
      <c r="G61" s="181"/>
      <c r="H61" s="181"/>
      <c r="I61" s="181"/>
      <c r="J61" s="181"/>
      <c r="K61" s="181"/>
      <c r="L61" s="181"/>
    </row>
    <row r="62" spans="2:12" ht="12.75" customHeight="1" x14ac:dyDescent="0.2">
      <c r="B62" s="181"/>
      <c r="C62" s="181"/>
      <c r="D62" s="181"/>
      <c r="E62" s="181"/>
      <c r="F62" s="181"/>
      <c r="G62" s="181"/>
      <c r="H62" s="181"/>
      <c r="I62" s="181"/>
      <c r="J62" s="181"/>
      <c r="K62" s="181"/>
      <c r="L62" s="181"/>
    </row>
    <row r="63" spans="2:12" ht="12.75" customHeight="1" x14ac:dyDescent="0.2">
      <c r="B63" s="181"/>
      <c r="C63" s="181"/>
      <c r="D63" s="181"/>
      <c r="E63" s="181"/>
      <c r="F63" s="181"/>
      <c r="G63" s="181"/>
      <c r="H63" s="181"/>
      <c r="I63" s="181"/>
      <c r="J63" s="181"/>
      <c r="K63" s="181"/>
      <c r="L63" s="181"/>
    </row>
    <row r="64" spans="2:12" ht="12.75" customHeight="1" x14ac:dyDescent="0.2">
      <c r="B64" s="181"/>
      <c r="C64" s="181"/>
      <c r="D64" s="181"/>
      <c r="E64" s="181"/>
      <c r="F64" s="181"/>
      <c r="G64" s="181"/>
      <c r="H64" s="181"/>
      <c r="I64" s="181"/>
      <c r="J64" s="181"/>
      <c r="K64" s="181"/>
      <c r="L64" s="181"/>
    </row>
    <row r="65" spans="2:12" ht="12.75" customHeight="1" x14ac:dyDescent="0.2">
      <c r="B65" s="181"/>
      <c r="C65" s="181"/>
      <c r="D65" s="181"/>
      <c r="E65" s="181"/>
      <c r="F65" s="181"/>
      <c r="G65" s="181"/>
      <c r="H65" s="181"/>
      <c r="I65" s="181"/>
      <c r="J65" s="181"/>
      <c r="K65" s="181"/>
      <c r="L65" s="181"/>
    </row>
    <row r="66" spans="2:12" ht="12.75" customHeight="1" x14ac:dyDescent="0.2">
      <c r="B66" s="181"/>
      <c r="C66" s="181"/>
      <c r="D66" s="181"/>
      <c r="E66" s="181"/>
      <c r="F66" s="181"/>
      <c r="G66" s="181"/>
      <c r="H66" s="181"/>
      <c r="I66" s="181"/>
      <c r="J66" s="181"/>
      <c r="K66" s="181"/>
      <c r="L66" s="181"/>
    </row>
    <row r="67" spans="2:12" x14ac:dyDescent="0.2">
      <c r="B67" s="181"/>
      <c r="C67" s="181"/>
      <c r="D67" s="181"/>
      <c r="E67" s="181"/>
      <c r="F67" s="181"/>
      <c r="G67" s="181"/>
      <c r="H67" s="181"/>
      <c r="I67" s="181"/>
      <c r="J67" s="181"/>
      <c r="K67" s="181"/>
      <c r="L67" s="181"/>
    </row>
    <row r="68" spans="2:12" x14ac:dyDescent="0.2">
      <c r="B68" s="181"/>
      <c r="C68" s="181"/>
      <c r="D68" s="181"/>
      <c r="E68" s="181"/>
      <c r="F68" s="181"/>
      <c r="G68" s="181"/>
      <c r="H68" s="181"/>
      <c r="I68" s="181"/>
      <c r="J68" s="181"/>
      <c r="K68" s="181"/>
      <c r="L68" s="181"/>
    </row>
    <row r="69" spans="2:12" x14ac:dyDescent="0.2">
      <c r="B69" s="181"/>
      <c r="C69" s="181"/>
      <c r="D69" s="181"/>
      <c r="E69" s="181"/>
      <c r="F69" s="181"/>
      <c r="G69" s="181"/>
      <c r="H69" s="181"/>
      <c r="I69" s="181"/>
      <c r="J69" s="181"/>
      <c r="K69" s="181"/>
      <c r="L69" s="181"/>
    </row>
    <row r="70" spans="2:12" x14ac:dyDescent="0.2">
      <c r="B70" s="181"/>
      <c r="C70" s="181"/>
      <c r="D70" s="181"/>
      <c r="E70" s="181"/>
      <c r="F70" s="181"/>
      <c r="G70" s="181"/>
      <c r="H70" s="181"/>
      <c r="I70" s="181"/>
      <c r="J70" s="181"/>
      <c r="K70" s="181"/>
      <c r="L70" s="181"/>
    </row>
    <row r="71" spans="2:12" x14ac:dyDescent="0.2">
      <c r="B71" s="181"/>
      <c r="C71" s="181"/>
      <c r="D71" s="181"/>
      <c r="E71" s="181"/>
      <c r="F71" s="181"/>
      <c r="G71" s="181"/>
      <c r="H71" s="181"/>
      <c r="I71" s="181"/>
      <c r="J71" s="181"/>
      <c r="K71" s="181"/>
      <c r="L71" s="181"/>
    </row>
    <row r="72" spans="2:12" x14ac:dyDescent="0.2">
      <c r="B72" s="181"/>
      <c r="C72" s="181"/>
      <c r="D72" s="181"/>
      <c r="E72" s="181"/>
      <c r="F72" s="181"/>
      <c r="G72" s="181"/>
      <c r="H72" s="181"/>
      <c r="I72" s="181"/>
      <c r="J72" s="181"/>
      <c r="K72" s="181"/>
      <c r="L72" s="181"/>
    </row>
    <row r="73" spans="2:12" x14ac:dyDescent="0.2">
      <c r="B73" s="181"/>
      <c r="C73" s="181"/>
      <c r="D73" s="181"/>
      <c r="E73" s="181"/>
      <c r="F73" s="181"/>
      <c r="G73" s="181"/>
      <c r="H73" s="181"/>
      <c r="I73" s="181"/>
      <c r="J73" s="181"/>
      <c r="K73" s="181"/>
      <c r="L73" s="181"/>
    </row>
  </sheetData>
  <mergeCells count="2">
    <mergeCell ref="B23:L73"/>
    <mergeCell ref="E1:M2"/>
  </mergeCells>
  <conditionalFormatting sqref="D19">
    <cfRule type="cellIs" dxfId="25" priority="29" operator="greaterThan">
      <formula>30</formula>
    </cfRule>
  </conditionalFormatting>
  <conditionalFormatting sqref="I19">
    <cfRule type="cellIs" dxfId="24" priority="32" stopIfTrue="1" operator="greaterThan">
      <formula>350</formula>
    </cfRule>
  </conditionalFormatting>
  <conditionalFormatting sqref="H19">
    <cfRule type="cellIs" dxfId="23" priority="33" stopIfTrue="1" operator="greaterThan">
      <formula>250</formula>
    </cfRule>
  </conditionalFormatting>
  <conditionalFormatting sqref="L19">
    <cfRule type="cellIs" dxfId="22" priority="34" stopIfTrue="1" operator="greaterThan">
      <formula>300</formula>
    </cfRule>
  </conditionalFormatting>
  <conditionalFormatting sqref="F19">
    <cfRule type="cellIs" dxfId="21" priority="35" operator="greaterThan">
      <formula>100</formula>
    </cfRule>
  </conditionalFormatting>
  <conditionalFormatting sqref="G19">
    <cfRule type="cellIs" dxfId="20" priority="31" operator="greaterThan">
      <formula>100</formula>
    </cfRule>
  </conditionalFormatting>
  <conditionalFormatting sqref="C19">
    <cfRule type="cellIs" dxfId="19" priority="30" operator="greaterThan">
      <formula>150</formula>
    </cfRule>
  </conditionalFormatting>
  <conditionalFormatting sqref="D20">
    <cfRule type="cellIs" dxfId="18" priority="22" operator="greaterThan">
      <formula>30</formula>
    </cfRule>
  </conditionalFormatting>
  <conditionalFormatting sqref="I20">
    <cfRule type="cellIs" dxfId="17" priority="25" stopIfTrue="1" operator="greaterThan">
      <formula>350</formula>
    </cfRule>
  </conditionalFormatting>
  <conditionalFormatting sqref="H20">
    <cfRule type="cellIs" dxfId="16" priority="26" stopIfTrue="1" operator="greaterThan">
      <formula>250</formula>
    </cfRule>
  </conditionalFormatting>
  <conditionalFormatting sqref="L20">
    <cfRule type="cellIs" dxfId="15" priority="27" stopIfTrue="1" operator="greaterThan">
      <formula>300</formula>
    </cfRule>
  </conditionalFormatting>
  <conditionalFormatting sqref="F20">
    <cfRule type="cellIs" dxfId="14" priority="28" operator="greaterThan">
      <formula>100</formula>
    </cfRule>
  </conditionalFormatting>
  <conditionalFormatting sqref="G20">
    <cfRule type="cellIs" dxfId="13" priority="24" operator="greaterThan">
      <formula>100</formula>
    </cfRule>
  </conditionalFormatting>
  <conditionalFormatting sqref="C20">
    <cfRule type="cellIs" dxfId="12" priority="23" operator="greaterThan">
      <formula>150</formula>
    </cfRule>
  </conditionalFormatting>
  <conditionalFormatting sqref="C21">
    <cfRule type="cellIs" dxfId="11" priority="16" operator="greaterThan">
      <formula>150</formula>
    </cfRule>
  </conditionalFormatting>
  <conditionalFormatting sqref="D21">
    <cfRule type="cellIs" dxfId="10" priority="14" operator="greaterThan">
      <formula>150</formula>
    </cfRule>
  </conditionalFormatting>
  <conditionalFormatting sqref="E21">
    <cfRule type="cellIs" dxfId="9" priority="13" operator="greaterThan">
      <formula>150</formula>
    </cfRule>
  </conditionalFormatting>
  <conditionalFormatting sqref="F21">
    <cfRule type="cellIs" dxfId="8" priority="12" operator="greaterThan">
      <formula>150</formula>
    </cfRule>
  </conditionalFormatting>
  <conditionalFormatting sqref="G21">
    <cfRule type="cellIs" dxfId="7" priority="11" operator="greaterThan">
      <formula>150</formula>
    </cfRule>
  </conditionalFormatting>
  <conditionalFormatting sqref="H21">
    <cfRule type="cellIs" dxfId="6" priority="10" operator="greaterThan">
      <formula>150</formula>
    </cfRule>
  </conditionalFormatting>
  <conditionalFormatting sqref="I21">
    <cfRule type="cellIs" dxfId="5" priority="9" operator="greaterThan">
      <formula>150</formula>
    </cfRule>
  </conditionalFormatting>
  <conditionalFormatting sqref="J21">
    <cfRule type="cellIs" dxfId="4" priority="8" operator="greaterThan">
      <formula>150</formula>
    </cfRule>
  </conditionalFormatting>
  <conditionalFormatting sqref="K21">
    <cfRule type="cellIs" dxfId="3" priority="7" operator="greaterThan">
      <formula>150</formula>
    </cfRule>
  </conditionalFormatting>
  <conditionalFormatting sqref="L21">
    <cfRule type="cellIs" dxfId="2" priority="6" operator="greaterThan">
      <formula>150</formula>
    </cfRule>
  </conditionalFormatting>
  <conditionalFormatting sqref="N21">
    <cfRule type="cellIs" dxfId="1" priority="2" operator="greaterThan">
      <formula>150</formula>
    </cfRule>
  </conditionalFormatting>
  <conditionalFormatting sqref="M21">
    <cfRule type="cellIs" dxfId="0" priority="3" operator="greaterThan">
      <formula>150</formula>
    </cfRule>
  </conditionalFormatting>
  <pageMargins left="0.25" right="0.25"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sheetViews>
  <sheetFormatPr defaultRowHeight="12.75" x14ac:dyDescent="0.2"/>
  <cols>
    <col min="1" max="1" width="19" customWidth="1"/>
    <col min="2" max="2" width="12.625" bestFit="1" customWidth="1"/>
    <col min="4" max="4" width="15.75" customWidth="1"/>
    <col min="6" max="6" width="10.25" customWidth="1"/>
    <col min="9" max="9" width="11.25" customWidth="1"/>
  </cols>
  <sheetData>
    <row r="1" spans="1:16" ht="27" customHeight="1" x14ac:dyDescent="0.25">
      <c r="A1" s="25" t="s">
        <v>185</v>
      </c>
      <c r="B1" s="152" t="s">
        <v>186</v>
      </c>
      <c r="C1" s="152" t="s">
        <v>33</v>
      </c>
      <c r="D1" s="151" t="s">
        <v>207</v>
      </c>
      <c r="E1" s="152" t="s">
        <v>208</v>
      </c>
      <c r="F1" s="152" t="s">
        <v>209</v>
      </c>
      <c r="G1" s="152" t="s">
        <v>211</v>
      </c>
      <c r="H1" s="152" t="s">
        <v>212</v>
      </c>
      <c r="I1" s="152" t="s">
        <v>213</v>
      </c>
      <c r="J1" s="151" t="s">
        <v>210</v>
      </c>
      <c r="K1" s="152" t="s">
        <v>152</v>
      </c>
      <c r="L1" s="152" t="s">
        <v>214</v>
      </c>
      <c r="M1" s="151" t="s">
        <v>187</v>
      </c>
      <c r="N1" s="151" t="s">
        <v>188</v>
      </c>
      <c r="P1" s="151"/>
    </row>
    <row r="2" spans="1:16" x14ac:dyDescent="0.2">
      <c r="A2" s="25" t="s">
        <v>180</v>
      </c>
      <c r="B2" s="155"/>
      <c r="L2" s="117"/>
    </row>
    <row r="3" spans="1:16" x14ac:dyDescent="0.2">
      <c r="A3" s="25" t="s">
        <v>199</v>
      </c>
      <c r="B3" s="153">
        <v>2013</v>
      </c>
      <c r="C3">
        <v>8</v>
      </c>
      <c r="D3">
        <v>5</v>
      </c>
      <c r="E3">
        <v>19</v>
      </c>
      <c r="F3">
        <v>5</v>
      </c>
      <c r="G3">
        <v>6</v>
      </c>
      <c r="H3">
        <v>18</v>
      </c>
      <c r="I3">
        <v>79</v>
      </c>
      <c r="J3">
        <v>3</v>
      </c>
      <c r="K3">
        <v>70</v>
      </c>
      <c r="L3" s="117">
        <v>68</v>
      </c>
      <c r="M3">
        <v>106</v>
      </c>
      <c r="N3">
        <v>0.5</v>
      </c>
    </row>
    <row r="4" spans="1:16" x14ac:dyDescent="0.2">
      <c r="A4" s="25" t="s">
        <v>190</v>
      </c>
      <c r="B4" s="154" t="s">
        <v>191</v>
      </c>
      <c r="C4" s="117">
        <v>7</v>
      </c>
      <c r="D4" s="117">
        <v>19</v>
      </c>
      <c r="E4" s="117">
        <v>2</v>
      </c>
      <c r="F4" s="117">
        <v>1</v>
      </c>
      <c r="G4" s="117">
        <v>23</v>
      </c>
      <c r="H4" s="128">
        <v>1</v>
      </c>
      <c r="I4">
        <v>20</v>
      </c>
      <c r="J4">
        <v>1</v>
      </c>
      <c r="K4">
        <v>16</v>
      </c>
      <c r="L4" s="117">
        <v>5</v>
      </c>
      <c r="M4">
        <v>72</v>
      </c>
      <c r="N4">
        <v>0.3</v>
      </c>
    </row>
    <row r="5" spans="1:16" x14ac:dyDescent="0.2">
      <c r="A5" t="s">
        <v>192</v>
      </c>
      <c r="B5" s="154" t="s">
        <v>193</v>
      </c>
      <c r="C5" s="117">
        <v>7.4</v>
      </c>
      <c r="D5" s="117">
        <v>8</v>
      </c>
      <c r="E5" s="117">
        <v>7</v>
      </c>
      <c r="F5" s="117">
        <v>1</v>
      </c>
      <c r="G5" s="117">
        <v>27</v>
      </c>
      <c r="H5" s="128">
        <v>12</v>
      </c>
      <c r="J5">
        <v>1</v>
      </c>
      <c r="K5">
        <v>20</v>
      </c>
      <c r="L5" s="117">
        <f>2.5*E5+4.1*F5</f>
        <v>21.6</v>
      </c>
    </row>
    <row r="6" spans="1:16" x14ac:dyDescent="0.2">
      <c r="A6" s="25" t="s">
        <v>194</v>
      </c>
      <c r="B6" s="153">
        <v>2013</v>
      </c>
      <c r="C6" s="117">
        <v>7.5</v>
      </c>
      <c r="D6" s="117">
        <v>8</v>
      </c>
      <c r="E6" s="117">
        <v>12</v>
      </c>
      <c r="F6" s="117">
        <v>3</v>
      </c>
      <c r="G6" s="117">
        <v>11</v>
      </c>
      <c r="H6" s="128">
        <v>27</v>
      </c>
      <c r="I6">
        <v>44</v>
      </c>
      <c r="J6">
        <v>1</v>
      </c>
      <c r="K6">
        <v>36</v>
      </c>
      <c r="L6" s="117">
        <v>43</v>
      </c>
      <c r="M6">
        <v>86</v>
      </c>
      <c r="N6">
        <v>0.5</v>
      </c>
    </row>
    <row r="7" spans="1:16" x14ac:dyDescent="0.2">
      <c r="A7" s="25" t="s">
        <v>198</v>
      </c>
      <c r="B7" s="154" t="s">
        <v>193</v>
      </c>
      <c r="C7">
        <v>7.7</v>
      </c>
      <c r="D7">
        <v>18</v>
      </c>
      <c r="E7">
        <v>25</v>
      </c>
      <c r="F7">
        <v>5</v>
      </c>
      <c r="G7">
        <v>12</v>
      </c>
      <c r="H7">
        <v>28</v>
      </c>
      <c r="J7">
        <v>1</v>
      </c>
      <c r="K7">
        <v>70</v>
      </c>
      <c r="L7" s="117">
        <f>2.5*E7+4.1*F7</f>
        <v>83</v>
      </c>
    </row>
    <row r="8" spans="1:16" x14ac:dyDescent="0.2">
      <c r="A8" s="25" t="s">
        <v>183</v>
      </c>
      <c r="B8" s="154" t="s">
        <v>189</v>
      </c>
      <c r="C8">
        <v>7.7</v>
      </c>
      <c r="D8">
        <v>14</v>
      </c>
      <c r="E8">
        <v>28</v>
      </c>
      <c r="F8">
        <v>7</v>
      </c>
      <c r="G8">
        <v>21</v>
      </c>
      <c r="H8">
        <v>21</v>
      </c>
      <c r="I8">
        <v>96</v>
      </c>
      <c r="J8">
        <v>1</v>
      </c>
      <c r="K8">
        <v>79</v>
      </c>
      <c r="L8" s="117">
        <v>99</v>
      </c>
      <c r="M8">
        <v>166</v>
      </c>
      <c r="N8">
        <v>0.2</v>
      </c>
    </row>
    <row r="9" spans="1:16" x14ac:dyDescent="0.2">
      <c r="A9" s="25" t="s">
        <v>205</v>
      </c>
      <c r="B9" s="153">
        <v>2013</v>
      </c>
      <c r="C9">
        <v>7.7</v>
      </c>
      <c r="D9">
        <v>6</v>
      </c>
      <c r="E9">
        <v>24</v>
      </c>
      <c r="F9">
        <v>6</v>
      </c>
      <c r="G9">
        <v>11</v>
      </c>
      <c r="H9">
        <v>27</v>
      </c>
      <c r="I9">
        <v>85</v>
      </c>
      <c r="J9">
        <v>1</v>
      </c>
      <c r="K9">
        <v>70</v>
      </c>
      <c r="L9" s="117">
        <v>85</v>
      </c>
      <c r="M9">
        <v>122</v>
      </c>
      <c r="N9">
        <v>0.5</v>
      </c>
    </row>
    <row r="10" spans="1:16" x14ac:dyDescent="0.2">
      <c r="A10" t="s">
        <v>114</v>
      </c>
      <c r="B10" s="155" t="s">
        <v>220</v>
      </c>
      <c r="C10" s="128"/>
      <c r="D10" s="117">
        <v>30</v>
      </c>
      <c r="E10" s="117">
        <v>40</v>
      </c>
      <c r="F10" s="117">
        <v>5</v>
      </c>
      <c r="G10" s="117">
        <v>40</v>
      </c>
      <c r="H10" s="117">
        <v>70</v>
      </c>
      <c r="I10" s="117">
        <v>60</v>
      </c>
      <c r="J10" s="117">
        <v>0</v>
      </c>
      <c r="K10" s="117">
        <f>I10*50/61</f>
        <v>49.180327868852459</v>
      </c>
      <c r="L10" s="117">
        <f>2.5*E10+4.1*F10</f>
        <v>120.5</v>
      </c>
    </row>
    <row r="11" spans="1:16" x14ac:dyDescent="0.2">
      <c r="A11" t="s">
        <v>113</v>
      </c>
      <c r="B11" s="155" t="s">
        <v>220</v>
      </c>
      <c r="C11" s="128"/>
      <c r="D11" s="117">
        <v>110</v>
      </c>
      <c r="E11" s="117">
        <v>80</v>
      </c>
      <c r="F11" s="117">
        <v>20</v>
      </c>
      <c r="G11" s="117">
        <v>190</v>
      </c>
      <c r="H11" s="117">
        <v>80</v>
      </c>
      <c r="I11" s="117">
        <v>210</v>
      </c>
      <c r="J11" s="117">
        <v>0</v>
      </c>
      <c r="K11" s="117">
        <f>I11*50/61</f>
        <v>172.13114754098362</v>
      </c>
      <c r="L11" s="117">
        <f>2.5*E11+4.1*F11</f>
        <v>282</v>
      </c>
    </row>
    <row r="12" spans="1:16" x14ac:dyDescent="0.2">
      <c r="A12" t="s">
        <v>204</v>
      </c>
      <c r="B12" s="153">
        <v>2013</v>
      </c>
      <c r="C12">
        <v>7.9</v>
      </c>
      <c r="D12">
        <v>5</v>
      </c>
      <c r="E12">
        <v>64</v>
      </c>
      <c r="F12">
        <v>27</v>
      </c>
      <c r="G12">
        <v>7</v>
      </c>
      <c r="H12">
        <v>27</v>
      </c>
      <c r="I12">
        <v>332</v>
      </c>
      <c r="J12">
        <v>1</v>
      </c>
      <c r="K12">
        <v>272</v>
      </c>
      <c r="L12" s="117">
        <v>273</v>
      </c>
      <c r="M12">
        <v>319</v>
      </c>
      <c r="N12">
        <v>2.5</v>
      </c>
    </row>
    <row r="13" spans="1:16" x14ac:dyDescent="0.2">
      <c r="A13" s="25" t="s">
        <v>195</v>
      </c>
      <c r="B13" s="154" t="s">
        <v>189</v>
      </c>
      <c r="C13" s="117">
        <v>7.8</v>
      </c>
      <c r="D13" s="117">
        <v>3</v>
      </c>
      <c r="E13" s="117">
        <v>21</v>
      </c>
      <c r="F13" s="117">
        <v>5</v>
      </c>
      <c r="G13" s="117">
        <v>8</v>
      </c>
      <c r="H13" s="128">
        <v>6</v>
      </c>
      <c r="I13">
        <v>77</v>
      </c>
      <c r="J13">
        <v>1</v>
      </c>
      <c r="K13">
        <v>64</v>
      </c>
      <c r="L13" s="117">
        <v>73</v>
      </c>
      <c r="M13">
        <v>101</v>
      </c>
      <c r="N13">
        <v>0.2</v>
      </c>
    </row>
    <row r="14" spans="1:16" x14ac:dyDescent="0.2">
      <c r="A14" s="25" t="s">
        <v>202</v>
      </c>
      <c r="B14" s="153">
        <v>2013</v>
      </c>
      <c r="C14">
        <v>7.9</v>
      </c>
      <c r="D14">
        <v>6</v>
      </c>
      <c r="E14">
        <v>32</v>
      </c>
      <c r="F14">
        <v>9</v>
      </c>
      <c r="G14">
        <v>8</v>
      </c>
      <c r="H14">
        <v>12</v>
      </c>
      <c r="I14">
        <v>138</v>
      </c>
      <c r="J14">
        <v>1</v>
      </c>
      <c r="K14">
        <v>113</v>
      </c>
      <c r="L14" s="117">
        <v>118</v>
      </c>
      <c r="M14">
        <v>166</v>
      </c>
      <c r="N14">
        <v>0.4</v>
      </c>
    </row>
    <row r="15" spans="1:16" x14ac:dyDescent="0.2">
      <c r="A15" s="25" t="s">
        <v>206</v>
      </c>
      <c r="B15" s="156">
        <v>2010</v>
      </c>
      <c r="C15">
        <v>7.5</v>
      </c>
      <c r="D15">
        <v>7</v>
      </c>
      <c r="E15">
        <v>31</v>
      </c>
      <c r="F15">
        <v>11</v>
      </c>
      <c r="G15">
        <v>21</v>
      </c>
      <c r="H15">
        <v>33</v>
      </c>
      <c r="I15">
        <v>128</v>
      </c>
      <c r="J15">
        <v>1</v>
      </c>
      <c r="K15">
        <v>105</v>
      </c>
      <c r="L15" s="117">
        <v>123</v>
      </c>
    </row>
    <row r="16" spans="1:16" x14ac:dyDescent="0.2">
      <c r="A16" s="25" t="s">
        <v>200</v>
      </c>
      <c r="B16" s="156">
        <v>2010</v>
      </c>
      <c r="C16">
        <v>7.9</v>
      </c>
      <c r="D16">
        <v>9</v>
      </c>
      <c r="E16">
        <v>32</v>
      </c>
      <c r="F16">
        <v>9</v>
      </c>
      <c r="G16">
        <v>17</v>
      </c>
      <c r="H16">
        <v>15</v>
      </c>
      <c r="I16">
        <v>128</v>
      </c>
      <c r="J16">
        <v>1</v>
      </c>
      <c r="K16">
        <v>105</v>
      </c>
      <c r="L16" s="117">
        <v>118</v>
      </c>
    </row>
    <row r="17" spans="1:14" x14ac:dyDescent="0.2">
      <c r="A17" s="25" t="s">
        <v>201</v>
      </c>
      <c r="B17" s="154" t="s">
        <v>189</v>
      </c>
      <c r="C17">
        <v>7.7</v>
      </c>
      <c r="D17">
        <v>7</v>
      </c>
      <c r="E17">
        <v>37</v>
      </c>
      <c r="F17">
        <v>11</v>
      </c>
      <c r="G17">
        <v>12</v>
      </c>
      <c r="H17">
        <v>24</v>
      </c>
      <c r="I17">
        <v>141</v>
      </c>
      <c r="J17">
        <v>1</v>
      </c>
      <c r="K17">
        <v>116</v>
      </c>
      <c r="L17" s="117">
        <v>138</v>
      </c>
      <c r="M17">
        <v>189</v>
      </c>
      <c r="N17">
        <v>0.5</v>
      </c>
    </row>
    <row r="18" spans="1:14" x14ac:dyDescent="0.2">
      <c r="A18" t="s">
        <v>119</v>
      </c>
      <c r="B18" s="155"/>
      <c r="C18" s="128">
        <v>5.8</v>
      </c>
      <c r="D18" s="117">
        <v>1</v>
      </c>
      <c r="E18" s="117">
        <v>1</v>
      </c>
      <c r="F18" s="117">
        <v>1</v>
      </c>
      <c r="G18" s="117">
        <v>1</v>
      </c>
      <c r="H18" s="117">
        <v>3</v>
      </c>
      <c r="I18" s="117">
        <v>1</v>
      </c>
      <c r="J18" s="117">
        <v>0</v>
      </c>
      <c r="K18" s="117">
        <v>1</v>
      </c>
      <c r="L18" s="117">
        <f>2.5*E18+4.1*F18</f>
        <v>6.6</v>
      </c>
    </row>
    <row r="19" spans="1:14" x14ac:dyDescent="0.2">
      <c r="A19" s="25" t="s">
        <v>216</v>
      </c>
      <c r="B19" s="154" t="s">
        <v>189</v>
      </c>
      <c r="C19" s="117">
        <v>5.8</v>
      </c>
      <c r="D19" s="117">
        <v>1</v>
      </c>
      <c r="E19" s="117">
        <v>1</v>
      </c>
      <c r="F19" s="117">
        <v>1</v>
      </c>
      <c r="G19" s="117">
        <v>1</v>
      </c>
      <c r="H19" s="128">
        <v>1</v>
      </c>
      <c r="I19">
        <v>1</v>
      </c>
      <c r="J19">
        <v>1</v>
      </c>
      <c r="K19">
        <v>1</v>
      </c>
      <c r="L19" s="117">
        <v>3</v>
      </c>
      <c r="M19">
        <v>52</v>
      </c>
      <c r="N19">
        <v>0.1</v>
      </c>
    </row>
    <row r="20" spans="1:14" x14ac:dyDescent="0.2">
      <c r="A20" s="25" t="s">
        <v>217</v>
      </c>
      <c r="B20" s="155" t="s">
        <v>219</v>
      </c>
      <c r="C20" s="128"/>
      <c r="D20" s="117">
        <v>3</v>
      </c>
      <c r="E20" s="117">
        <v>1</v>
      </c>
      <c r="F20" s="117">
        <v>1</v>
      </c>
      <c r="G20" s="117">
        <v>12</v>
      </c>
      <c r="H20" s="117">
        <v>8</v>
      </c>
      <c r="I20" s="117">
        <v>23</v>
      </c>
      <c r="J20" s="117">
        <v>0</v>
      </c>
      <c r="K20" s="117">
        <v>1</v>
      </c>
      <c r="L20" s="117">
        <f>2.5*E20+4.1*F20</f>
        <v>6.6</v>
      </c>
    </row>
    <row r="21" spans="1:14" x14ac:dyDescent="0.2">
      <c r="A21" s="25" t="s">
        <v>121</v>
      </c>
      <c r="B21" s="154" t="s">
        <v>196</v>
      </c>
      <c r="C21">
        <v>8.4</v>
      </c>
      <c r="D21">
        <v>5</v>
      </c>
      <c r="E21">
        <v>20</v>
      </c>
      <c r="F21">
        <v>1</v>
      </c>
      <c r="G21">
        <v>5</v>
      </c>
      <c r="H21">
        <v>1</v>
      </c>
      <c r="I21">
        <v>63</v>
      </c>
      <c r="J21">
        <v>1</v>
      </c>
      <c r="K21">
        <v>53</v>
      </c>
      <c r="L21" s="117">
        <v>54</v>
      </c>
      <c r="M21">
        <v>80</v>
      </c>
      <c r="N21">
        <v>0.1</v>
      </c>
    </row>
    <row r="22" spans="1:14" x14ac:dyDescent="0.2">
      <c r="A22" s="25" t="s">
        <v>197</v>
      </c>
      <c r="B22" s="154" t="s">
        <v>196</v>
      </c>
      <c r="C22">
        <v>8</v>
      </c>
      <c r="D22">
        <v>13</v>
      </c>
      <c r="E22">
        <v>18</v>
      </c>
      <c r="F22">
        <v>3</v>
      </c>
      <c r="G22">
        <v>11</v>
      </c>
      <c r="H22">
        <v>15</v>
      </c>
      <c r="I22">
        <v>64</v>
      </c>
      <c r="J22">
        <v>1</v>
      </c>
      <c r="K22">
        <v>53</v>
      </c>
      <c r="L22" s="117">
        <v>58</v>
      </c>
      <c r="M22">
        <v>113</v>
      </c>
      <c r="N22">
        <v>0.1</v>
      </c>
    </row>
    <row r="23" spans="1:14" x14ac:dyDescent="0.2">
      <c r="A23" t="s">
        <v>181</v>
      </c>
      <c r="B23" s="154" t="s">
        <v>189</v>
      </c>
      <c r="C23" s="117">
        <v>7.6</v>
      </c>
      <c r="D23" s="117">
        <v>6</v>
      </c>
      <c r="E23" s="117">
        <v>9</v>
      </c>
      <c r="F23" s="117">
        <v>1</v>
      </c>
      <c r="G23" s="117">
        <v>7</v>
      </c>
      <c r="H23" s="128">
        <v>3</v>
      </c>
      <c r="I23">
        <v>26</v>
      </c>
      <c r="J23">
        <v>1</v>
      </c>
      <c r="K23">
        <v>22</v>
      </c>
      <c r="L23" s="117">
        <v>31</v>
      </c>
      <c r="M23">
        <v>55</v>
      </c>
      <c r="N23">
        <v>0.1</v>
      </c>
    </row>
    <row r="24" spans="1:14" x14ac:dyDescent="0.2">
      <c r="A24" t="s">
        <v>184</v>
      </c>
      <c r="B24" s="154" t="s">
        <v>191</v>
      </c>
      <c r="C24" s="117">
        <v>7.1</v>
      </c>
      <c r="D24" s="117">
        <v>11</v>
      </c>
      <c r="E24" s="117">
        <v>15</v>
      </c>
      <c r="F24" s="117">
        <v>4</v>
      </c>
      <c r="G24" s="117">
        <v>14</v>
      </c>
      <c r="H24" s="128">
        <v>12</v>
      </c>
      <c r="I24">
        <v>45</v>
      </c>
      <c r="J24">
        <v>1</v>
      </c>
      <c r="K24">
        <v>37</v>
      </c>
      <c r="L24" s="117">
        <v>54</v>
      </c>
      <c r="M24">
        <v>100</v>
      </c>
      <c r="N24">
        <v>0.1</v>
      </c>
    </row>
    <row r="25" spans="1:14" x14ac:dyDescent="0.2">
      <c r="A25" s="25" t="s">
        <v>118</v>
      </c>
      <c r="B25" s="154" t="s">
        <v>189</v>
      </c>
      <c r="C25">
        <v>8.1</v>
      </c>
      <c r="D25">
        <v>11</v>
      </c>
      <c r="E25">
        <v>38</v>
      </c>
      <c r="F25">
        <v>11</v>
      </c>
      <c r="G25">
        <v>11</v>
      </c>
      <c r="H25">
        <v>24</v>
      </c>
      <c r="I25">
        <v>152</v>
      </c>
      <c r="J25">
        <v>1</v>
      </c>
      <c r="K25">
        <v>126</v>
      </c>
      <c r="L25" s="117">
        <v>141</v>
      </c>
      <c r="M25">
        <v>196</v>
      </c>
      <c r="N25">
        <v>0.5</v>
      </c>
    </row>
    <row r="26" spans="1:14" x14ac:dyDescent="0.2">
      <c r="A26" s="25" t="s">
        <v>215</v>
      </c>
      <c r="B26" s="155" t="s">
        <v>218</v>
      </c>
      <c r="C26" s="128">
        <v>7</v>
      </c>
      <c r="D26" s="117">
        <v>8</v>
      </c>
      <c r="E26" s="117">
        <f>E25-((I25-I26)/3.05)</f>
        <v>20.163934426229506</v>
      </c>
      <c r="F26" s="117">
        <v>10</v>
      </c>
      <c r="G26" s="117">
        <v>11</v>
      </c>
      <c r="H26" s="117">
        <v>12</v>
      </c>
      <c r="I26" s="117">
        <f>K26*61/50</f>
        <v>97.6</v>
      </c>
      <c r="J26" s="117">
        <v>0</v>
      </c>
      <c r="K26" s="117">
        <v>80</v>
      </c>
      <c r="L26" s="117">
        <f>2.5*E26+4.1*F26</f>
        <v>91.409836065573757</v>
      </c>
    </row>
    <row r="27" spans="1:14" x14ac:dyDescent="0.2">
      <c r="A27" s="25" t="s">
        <v>182</v>
      </c>
      <c r="B27" s="154" t="s">
        <v>189</v>
      </c>
      <c r="C27">
        <v>7.7</v>
      </c>
      <c r="D27">
        <v>7</v>
      </c>
      <c r="E27">
        <v>39</v>
      </c>
      <c r="F27">
        <v>11</v>
      </c>
      <c r="G27">
        <v>10</v>
      </c>
      <c r="H27">
        <v>24</v>
      </c>
      <c r="I27">
        <v>160</v>
      </c>
      <c r="J27">
        <v>1</v>
      </c>
      <c r="K27">
        <v>132</v>
      </c>
      <c r="L27" s="117">
        <v>143</v>
      </c>
      <c r="M27">
        <v>194</v>
      </c>
      <c r="N27">
        <v>0.4</v>
      </c>
    </row>
    <row r="28" spans="1:14" x14ac:dyDescent="0.2">
      <c r="A28" t="s">
        <v>203</v>
      </c>
      <c r="B28" s="153">
        <v>2013</v>
      </c>
      <c r="C28">
        <v>7.9</v>
      </c>
      <c r="D28">
        <v>7</v>
      </c>
      <c r="E28">
        <v>69</v>
      </c>
      <c r="F28">
        <v>17</v>
      </c>
      <c r="G28">
        <v>11</v>
      </c>
      <c r="H28">
        <v>15</v>
      </c>
      <c r="I28">
        <v>285</v>
      </c>
      <c r="J28">
        <v>1</v>
      </c>
      <c r="K28">
        <v>234</v>
      </c>
      <c r="L28" s="117">
        <v>243</v>
      </c>
      <c r="M28">
        <v>287</v>
      </c>
      <c r="N28">
        <v>1.8</v>
      </c>
    </row>
  </sheetData>
  <sortState ref="A2:N30">
    <sortCondition ref="A1"/>
  </sortState>
  <dataConsolid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zoomScaleNormal="100" workbookViewId="0"/>
  </sheetViews>
  <sheetFormatPr defaultColWidth="10.625" defaultRowHeight="12.75" x14ac:dyDescent="0.2"/>
  <cols>
    <col min="1" max="16384" width="10.625" style="25"/>
  </cols>
  <sheetData>
    <row r="1" spans="1:31" ht="15" x14ac:dyDescent="0.2">
      <c r="B1" s="23" t="s">
        <v>85</v>
      </c>
      <c r="D1" s="26"/>
      <c r="H1" s="27"/>
      <c r="M1" s="28"/>
      <c r="N1" s="28"/>
      <c r="O1" s="28"/>
      <c r="P1" s="28"/>
      <c r="Q1" s="28"/>
      <c r="R1" s="28"/>
      <c r="S1" s="28"/>
      <c r="T1" s="28"/>
      <c r="U1" s="28"/>
      <c r="V1" s="28"/>
      <c r="W1" s="28"/>
      <c r="X1" s="28"/>
      <c r="Y1" s="28"/>
      <c r="Z1" s="28"/>
      <c r="AA1" s="28"/>
      <c r="AB1" s="28"/>
    </row>
    <row r="2" spans="1:31" x14ac:dyDescent="0.2">
      <c r="C2" s="25" t="s">
        <v>127</v>
      </c>
      <c r="D2" s="26"/>
      <c r="H2" s="27"/>
      <c r="M2" s="28"/>
      <c r="N2" s="32"/>
      <c r="O2" s="32"/>
      <c r="P2" s="32"/>
      <c r="Q2" s="32"/>
      <c r="R2" s="32"/>
      <c r="S2" s="32"/>
      <c r="T2" s="32"/>
      <c r="U2" s="32"/>
      <c r="V2" s="32"/>
      <c r="W2" s="28"/>
      <c r="X2" s="28"/>
      <c r="Y2" s="28"/>
      <c r="Z2" s="28"/>
      <c r="AA2" s="28"/>
      <c r="AB2" s="28"/>
    </row>
    <row r="3" spans="1:31" ht="15.75" x14ac:dyDescent="0.25">
      <c r="H3" s="39"/>
      <c r="J3" s="88" t="s">
        <v>151</v>
      </c>
      <c r="M3" s="167" t="s">
        <v>232</v>
      </c>
      <c r="N3" s="28"/>
      <c r="O3" s="28"/>
      <c r="P3" s="28"/>
      <c r="Q3" s="28"/>
      <c r="R3" s="28"/>
      <c r="S3" s="28"/>
      <c r="T3" s="28"/>
      <c r="U3" s="28"/>
      <c r="V3" s="28"/>
      <c r="W3" s="28"/>
      <c r="X3" s="28"/>
      <c r="Y3" s="28"/>
      <c r="Z3" s="28"/>
      <c r="AA3" s="28"/>
      <c r="AB3" s="28"/>
    </row>
    <row r="4" spans="1:31" x14ac:dyDescent="0.2">
      <c r="A4" s="46" t="s">
        <v>59</v>
      </c>
      <c r="B4" s="28"/>
      <c r="C4" s="28"/>
      <c r="D4" s="28"/>
      <c r="E4" s="28" t="s">
        <v>10</v>
      </c>
      <c r="F4" s="28" t="s">
        <v>11</v>
      </c>
      <c r="G4" s="28" t="s">
        <v>12</v>
      </c>
      <c r="H4" s="39"/>
      <c r="I4"/>
      <c r="J4" s="88" t="s">
        <v>44</v>
      </c>
      <c r="K4"/>
      <c r="M4" s="43"/>
      <c r="N4" s="28"/>
      <c r="O4" s="28"/>
      <c r="P4" s="28"/>
      <c r="Q4" s="28"/>
      <c r="R4" s="28"/>
      <c r="S4" s="28"/>
      <c r="T4" s="28"/>
      <c r="U4" s="28"/>
      <c r="V4" s="28"/>
      <c r="W4" s="32"/>
      <c r="X4" s="32"/>
      <c r="Y4" s="32"/>
      <c r="Z4" s="32"/>
      <c r="AA4" s="32"/>
      <c r="AB4" s="32"/>
    </row>
    <row r="5" spans="1:31" x14ac:dyDescent="0.2">
      <c r="A5" s="28" t="s">
        <v>13</v>
      </c>
      <c r="B5" s="28" t="s">
        <v>14</v>
      </c>
      <c r="C5" s="28" t="s">
        <v>15</v>
      </c>
      <c r="D5" s="28" t="s">
        <v>16</v>
      </c>
      <c r="E5" s="28" t="s">
        <v>17</v>
      </c>
      <c r="F5" s="28" t="s">
        <v>18</v>
      </c>
      <c r="G5" s="28" t="s">
        <v>19</v>
      </c>
      <c r="H5" s="39"/>
      <c r="I5"/>
      <c r="K5"/>
      <c r="M5" s="43"/>
      <c r="N5" s="28" t="s">
        <v>233</v>
      </c>
      <c r="O5" s="28"/>
      <c r="P5" s="28"/>
      <c r="Q5" s="28"/>
      <c r="R5" s="28"/>
      <c r="S5" s="28"/>
      <c r="T5" s="28"/>
      <c r="U5" s="28"/>
      <c r="V5" s="28"/>
      <c r="W5" s="32"/>
      <c r="X5" s="32"/>
      <c r="Y5" s="32"/>
      <c r="Z5" s="32"/>
      <c r="AA5" s="32"/>
      <c r="AB5" s="32"/>
    </row>
    <row r="6" spans="1:31" x14ac:dyDescent="0.2">
      <c r="A6" s="29">
        <f>Mash!B40</f>
        <v>8.1999999999999993</v>
      </c>
      <c r="B6" s="30">
        <f>10^(A6-6.38)</f>
        <v>66.069344800759509</v>
      </c>
      <c r="C6" s="30">
        <f>10^(A6-10.33)</f>
        <v>7.413102413009162E-3</v>
      </c>
      <c r="D6" s="30">
        <f>1+B6+B6*C6</f>
        <v>67.559123620127949</v>
      </c>
      <c r="E6" s="31">
        <f>1/D6</f>
        <v>1.4801849793416639E-2</v>
      </c>
      <c r="F6" s="31">
        <f>B6/D6</f>
        <v>0.97794851769029478</v>
      </c>
      <c r="G6" s="31">
        <f>B6*C6/D6</f>
        <v>7.2496325162886574E-3</v>
      </c>
      <c r="H6" s="39"/>
      <c r="I6"/>
      <c r="K6"/>
      <c r="N6" s="28">
        <f>J10/2/W10</f>
        <v>0.82015854649866915</v>
      </c>
      <c r="O6" s="28" t="s">
        <v>234</v>
      </c>
      <c r="P6" s="28"/>
      <c r="Q6" s="28"/>
      <c r="R6" s="28"/>
      <c r="S6" s="28"/>
      <c r="T6" s="28"/>
      <c r="U6" s="28"/>
      <c r="V6" s="28"/>
      <c r="W6" s="32"/>
      <c r="X6" s="32"/>
      <c r="Y6" s="32"/>
      <c r="Z6" s="32"/>
      <c r="AA6" s="32"/>
      <c r="AB6" s="32"/>
    </row>
    <row r="7" spans="1:31" ht="14.25" x14ac:dyDescent="0.25">
      <c r="A7" s="29">
        <f>Mash!C40</f>
        <v>5.5</v>
      </c>
      <c r="B7" s="33">
        <f>10^(Mash!C40-6.38)</f>
        <v>0.1318256738556407</v>
      </c>
      <c r="C7" s="33">
        <f>10^(Mash!C40-10.33)</f>
        <v>1.4791083881682046E-5</v>
      </c>
      <c r="D7" s="33">
        <f>1+B7+B7*C7</f>
        <v>1.1318276237002405</v>
      </c>
      <c r="E7" s="34">
        <f>1/D7</f>
        <v>0.88352676596701052</v>
      </c>
      <c r="F7" s="34">
        <f>B7/D7</f>
        <v>0.11647151129309612</v>
      </c>
      <c r="G7" s="34">
        <f>B7*C7/D7</f>
        <v>1.7227398933624626E-6</v>
      </c>
      <c r="H7" s="28"/>
      <c r="I7"/>
      <c r="J7" s="88" t="s">
        <v>152</v>
      </c>
      <c r="K7"/>
      <c r="M7" s="28"/>
      <c r="N7" s="28" t="s">
        <v>235</v>
      </c>
      <c r="O7" s="28"/>
      <c r="V7" s="28"/>
      <c r="W7" s="32"/>
      <c r="X7" s="32"/>
      <c r="Y7" s="32"/>
      <c r="Z7" s="32"/>
      <c r="AA7" s="32"/>
      <c r="AB7" s="32"/>
    </row>
    <row r="8" spans="1:31" ht="13.5" thickBot="1" x14ac:dyDescent="0.25">
      <c r="A8" s="29">
        <v>4.3</v>
      </c>
      <c r="B8" s="35">
        <f>10^(4.3-6.38)</f>
        <v>8.3176377110267055E-3</v>
      </c>
      <c r="C8" s="35">
        <f>10^(4.3-10.33)</f>
        <v>9.3325430079699009E-7</v>
      </c>
      <c r="D8" s="35">
        <f>1+B8+B8*C8</f>
        <v>1.0083176454734979</v>
      </c>
      <c r="E8" s="31">
        <f>1/D8</f>
        <v>0.9917509670580128</v>
      </c>
      <c r="F8" s="31">
        <f>B8/D8</f>
        <v>8.2490252435489311E-3</v>
      </c>
      <c r="G8" s="31">
        <f>B8*C8/D8</f>
        <v>7.6984382859249789E-9</v>
      </c>
      <c r="H8" s="28"/>
      <c r="I8"/>
      <c r="J8" s="25" t="s">
        <v>120</v>
      </c>
      <c r="K8"/>
      <c r="M8" s="44"/>
      <c r="N8" s="28"/>
      <c r="O8" s="28"/>
      <c r="V8" s="28"/>
      <c r="W8" s="32"/>
      <c r="X8" s="32"/>
      <c r="Y8" s="32"/>
      <c r="Z8" s="32"/>
      <c r="AA8" s="32"/>
      <c r="AB8" s="32"/>
    </row>
    <row r="9" spans="1:31" ht="39" thickTop="1" thickBot="1" x14ac:dyDescent="0.25">
      <c r="H9" s="32"/>
      <c r="J9" s="7" t="s">
        <v>128</v>
      </c>
      <c r="K9" s="13" t="s">
        <v>129</v>
      </c>
      <c r="L9" s="7" t="s">
        <v>130</v>
      </c>
      <c r="M9" s="7" t="s">
        <v>131</v>
      </c>
      <c r="N9" s="7" t="s">
        <v>132</v>
      </c>
      <c r="O9" s="7" t="s">
        <v>117</v>
      </c>
      <c r="P9" s="7" t="s">
        <v>133</v>
      </c>
      <c r="Q9" s="7" t="s">
        <v>134</v>
      </c>
      <c r="R9" s="28" t="s">
        <v>225</v>
      </c>
      <c r="S9" s="28" t="s">
        <v>226</v>
      </c>
      <c r="T9" s="28" t="s">
        <v>227</v>
      </c>
      <c r="U9" s="45" t="s">
        <v>228</v>
      </c>
      <c r="V9" s="28" t="s">
        <v>229</v>
      </c>
      <c r="W9" s="32" t="s">
        <v>230</v>
      </c>
      <c r="X9" s="32" t="s">
        <v>231</v>
      </c>
      <c r="Y9" s="32" t="s">
        <v>236</v>
      </c>
      <c r="Z9" s="32"/>
      <c r="AA9" s="32"/>
      <c r="AB9" s="32"/>
    </row>
    <row r="10" spans="1:31" ht="14.25" thickTop="1" thickBot="1" x14ac:dyDescent="0.25">
      <c r="D10" s="26"/>
      <c r="H10" s="32" t="s">
        <v>20</v>
      </c>
      <c r="I10" s="93" t="s">
        <v>224</v>
      </c>
      <c r="J10" s="25">
        <v>100.0869</v>
      </c>
      <c r="K10" s="25">
        <v>172.1712</v>
      </c>
      <c r="L10" s="25">
        <v>147.0146</v>
      </c>
      <c r="M10" s="25">
        <v>246.47460000000001</v>
      </c>
      <c r="N10" s="28">
        <v>84.006600000000006</v>
      </c>
      <c r="O10" s="28">
        <v>58.442799999999998</v>
      </c>
      <c r="P10" s="28">
        <v>74.092699999999994</v>
      </c>
      <c r="Q10" s="28">
        <v>203.30269999999999</v>
      </c>
      <c r="R10" s="28">
        <v>40.078000000000003</v>
      </c>
      <c r="S10" s="28">
        <v>35.453000000000003</v>
      </c>
      <c r="T10" s="28">
        <v>96.062600000000003</v>
      </c>
      <c r="U10" s="45">
        <v>24.305</v>
      </c>
      <c r="V10" s="28">
        <v>22.989769280000001</v>
      </c>
      <c r="W10" s="32">
        <v>61.016800000000003</v>
      </c>
      <c r="X10" s="32">
        <v>60.008899999999997</v>
      </c>
      <c r="Y10" s="32">
        <v>17.007339999999999</v>
      </c>
      <c r="Z10" s="32"/>
      <c r="AA10" s="32"/>
      <c r="AB10" s="32"/>
    </row>
    <row r="11" spans="1:31" ht="13.5" thickBot="1" x14ac:dyDescent="0.25">
      <c r="B11" s="94" t="s">
        <v>25</v>
      </c>
      <c r="C11" s="95"/>
      <c r="D11" s="96"/>
      <c r="E11" s="95"/>
      <c r="F11"/>
      <c r="G11"/>
      <c r="J11" s="25">
        <f>1/0.00378</f>
        <v>264.55026455026456</v>
      </c>
      <c r="N11" s="28">
        <f>W10/N10/0.00378</f>
        <v>192.15169500980377</v>
      </c>
      <c r="O11" s="28"/>
      <c r="P11" s="28"/>
      <c r="Q11" s="28"/>
      <c r="R11" s="28"/>
      <c r="S11" s="28"/>
      <c r="T11" s="28"/>
      <c r="U11" s="45"/>
      <c r="V11" s="28"/>
      <c r="W11" s="32"/>
      <c r="X11" s="32"/>
      <c r="Y11" s="32">
        <f>2*Y10/P10/0.00378</f>
        <v>121.45046128151077</v>
      </c>
      <c r="Z11" s="32"/>
      <c r="AA11" s="32"/>
      <c r="AB11" s="32"/>
    </row>
    <row r="12" spans="1:31" x14ac:dyDescent="0.2">
      <c r="B12" s="97" t="s">
        <v>26</v>
      </c>
      <c r="C12" s="98"/>
      <c r="D12" s="99">
        <f ca="1">IF(Mash!E11="Alkalinity as CaCO3",Mash!E15,Mash!E15*50/61)</f>
        <v>53</v>
      </c>
      <c r="E12" s="98"/>
      <c r="F12"/>
      <c r="H12" s="39"/>
      <c r="J12" s="25">
        <f>R10/J10/0.00378</f>
        <v>105.934398034563</v>
      </c>
      <c r="N12" s="28"/>
      <c r="O12" s="28"/>
      <c r="P12" s="28"/>
      <c r="Q12" s="28"/>
      <c r="R12" s="28"/>
      <c r="S12" s="28"/>
      <c r="T12" s="28"/>
      <c r="U12" s="45"/>
      <c r="V12" s="28"/>
      <c r="W12" s="32"/>
      <c r="X12" s="32"/>
      <c r="Y12" s="32"/>
      <c r="Z12" s="32"/>
      <c r="AA12" s="32"/>
      <c r="AB12" s="32"/>
    </row>
    <row r="13" spans="1:31" x14ac:dyDescent="0.2">
      <c r="B13" s="100" t="s">
        <v>27</v>
      </c>
      <c r="C13" s="88"/>
      <c r="D13" s="38">
        <f ca="1">D12/50</f>
        <v>1.06</v>
      </c>
      <c r="E13" s="88" t="s">
        <v>24</v>
      </c>
      <c r="F13"/>
      <c r="G13"/>
      <c r="H13" s="27"/>
      <c r="M13" s="32"/>
      <c r="N13" s="32"/>
      <c r="O13" s="32"/>
      <c r="P13" s="32"/>
      <c r="Q13" s="32"/>
      <c r="R13" s="32"/>
      <c r="S13" s="32"/>
      <c r="T13" s="32"/>
      <c r="U13" s="32"/>
      <c r="V13" s="32"/>
      <c r="W13" s="32">
        <f>J10/2/Y10</f>
        <v>2.9424619017436004</v>
      </c>
      <c r="X13" s="32"/>
      <c r="Y13" s="32"/>
      <c r="Z13" s="32"/>
      <c r="AA13" s="32"/>
      <c r="AB13" s="32"/>
    </row>
    <row r="14" spans="1:31" x14ac:dyDescent="0.2">
      <c r="B14" s="24" t="s">
        <v>28</v>
      </c>
      <c r="C14" s="37"/>
      <c r="D14" s="38">
        <f>Mash!B40</f>
        <v>8.1999999999999993</v>
      </c>
      <c r="E14" s="39"/>
      <c r="F14"/>
      <c r="G14"/>
      <c r="H14" s="39"/>
      <c r="M14" s="32"/>
      <c r="N14" s="32"/>
      <c r="O14" s="32"/>
      <c r="P14" s="32"/>
      <c r="Q14" s="32"/>
      <c r="R14" s="32"/>
      <c r="S14" s="32"/>
      <c r="T14" s="32"/>
      <c r="U14" s="32"/>
      <c r="V14" s="32"/>
      <c r="W14" s="32">
        <f>1/W13</f>
        <v>0.33985146907337521</v>
      </c>
      <c r="X14" s="32"/>
      <c r="Y14" s="32"/>
      <c r="Z14" s="32"/>
      <c r="AA14" s="32"/>
      <c r="AB14" s="32"/>
    </row>
    <row r="15" spans="1:31" ht="15.75" x14ac:dyDescent="0.3">
      <c r="B15" s="100" t="s">
        <v>58</v>
      </c>
      <c r="C15" s="88"/>
      <c r="D15" s="101">
        <f>E6</f>
        <v>1.4801849793416639E-2</v>
      </c>
      <c r="E15" s="39"/>
      <c r="F15"/>
      <c r="G15"/>
      <c r="H15" s="39"/>
      <c r="I15" s="27"/>
      <c r="J15" s="27"/>
      <c r="K15" s="27"/>
      <c r="L15" s="27"/>
      <c r="M15" s="36"/>
      <c r="N15" s="36"/>
      <c r="O15" s="36"/>
      <c r="P15" s="36"/>
      <c r="Q15" s="32"/>
      <c r="R15" s="36"/>
      <c r="S15" s="36"/>
      <c r="T15" s="36"/>
      <c r="U15" s="36"/>
      <c r="V15" s="36"/>
      <c r="W15" s="36"/>
      <c r="X15" s="36"/>
      <c r="Y15" s="36"/>
      <c r="Z15" s="36"/>
      <c r="AA15" s="36"/>
      <c r="AB15" s="36"/>
      <c r="AC15" s="27"/>
      <c r="AD15" s="27"/>
      <c r="AE15" s="27"/>
    </row>
    <row r="16" spans="1:31" ht="15.75" x14ac:dyDescent="0.3">
      <c r="B16" s="100" t="s">
        <v>42</v>
      </c>
      <c r="C16" s="88"/>
      <c r="D16" s="101">
        <f>F6</f>
        <v>0.97794851769029478</v>
      </c>
      <c r="E16" s="39"/>
      <c r="F16"/>
      <c r="G16"/>
      <c r="H16" s="39"/>
      <c r="I16" s="2" t="s">
        <v>115</v>
      </c>
      <c r="J16" s="121" t="s">
        <v>116</v>
      </c>
      <c r="Y16" s="32"/>
      <c r="Z16" s="32"/>
      <c r="AA16" s="32"/>
      <c r="AB16" s="32"/>
    </row>
    <row r="17" spans="1:31" ht="15.75" x14ac:dyDescent="0.3">
      <c r="B17" s="100" t="s">
        <v>43</v>
      </c>
      <c r="C17" s="88"/>
      <c r="D17" s="101">
        <f>G6</f>
        <v>7.2496325162886574E-3</v>
      </c>
      <c r="E17" s="39"/>
      <c r="F17"/>
      <c r="G17"/>
      <c r="H17" s="39"/>
      <c r="I17" s="1" t="s">
        <v>112</v>
      </c>
      <c r="W17" s="36"/>
      <c r="Y17" s="32"/>
      <c r="Z17" s="32"/>
      <c r="AA17" s="32"/>
      <c r="AB17" s="32"/>
    </row>
    <row r="18" spans="1:31" x14ac:dyDescent="0.2">
      <c r="B18" s="24" t="s">
        <v>28</v>
      </c>
      <c r="C18" s="37"/>
      <c r="D18" s="38">
        <f>Mash!C40</f>
        <v>5.5</v>
      </c>
      <c r="E18" s="39"/>
      <c r="F18"/>
      <c r="G18"/>
      <c r="H18" s="39"/>
      <c r="Y18" s="32"/>
      <c r="Z18" s="32"/>
      <c r="AA18" s="32"/>
      <c r="AB18" s="32"/>
    </row>
    <row r="19" spans="1:31" ht="15.75" x14ac:dyDescent="0.3">
      <c r="B19" s="100" t="s">
        <v>58</v>
      </c>
      <c r="C19" s="88"/>
      <c r="D19" s="101">
        <f>E7</f>
        <v>0.88352676596701052</v>
      </c>
      <c r="E19" s="39"/>
      <c r="F19"/>
      <c r="G19"/>
      <c r="H19" s="39"/>
      <c r="I19" s="157" t="s">
        <v>222</v>
      </c>
      <c r="Y19" s="36"/>
      <c r="Z19" s="36"/>
      <c r="AA19" s="36"/>
      <c r="AB19" s="36"/>
      <c r="AC19" s="27"/>
      <c r="AD19" s="27"/>
      <c r="AE19" s="27"/>
    </row>
    <row r="20" spans="1:31" ht="15.75" x14ac:dyDescent="0.3">
      <c r="B20" s="100" t="s">
        <v>42</v>
      </c>
      <c r="C20" s="88"/>
      <c r="D20" s="101">
        <f>F7</f>
        <v>0.11647151129309612</v>
      </c>
      <c r="E20" s="88"/>
      <c r="F20"/>
      <c r="G20"/>
      <c r="H20" s="39"/>
      <c r="I20" s="25" t="s">
        <v>221</v>
      </c>
      <c r="Y20" s="32"/>
      <c r="Z20" s="32"/>
      <c r="AA20" s="32"/>
      <c r="AB20" s="32"/>
    </row>
    <row r="21" spans="1:31" ht="15.75" x14ac:dyDescent="0.3">
      <c r="B21" s="100" t="s">
        <v>43</v>
      </c>
      <c r="C21" s="88"/>
      <c r="D21" s="102">
        <f>G7</f>
        <v>1.7227398933624626E-6</v>
      </c>
      <c r="E21" s="88"/>
      <c r="F21"/>
      <c r="G21"/>
      <c r="H21" s="39"/>
      <c r="Y21" s="32"/>
      <c r="Z21" s="32"/>
      <c r="AA21" s="32"/>
      <c r="AB21" s="32"/>
    </row>
    <row r="22" spans="1:31" x14ac:dyDescent="0.2">
      <c r="B22" s="103" t="s">
        <v>60</v>
      </c>
      <c r="D22" s="35">
        <f ca="1">D13/((E8-E6)+(G6-G8))</f>
        <v>1.0770182430401882</v>
      </c>
      <c r="E22" s="25" t="s">
        <v>24</v>
      </c>
      <c r="F22"/>
      <c r="G22"/>
      <c r="H22" s="39"/>
    </row>
    <row r="23" spans="1:31" x14ac:dyDescent="0.2">
      <c r="B23" s="100" t="s">
        <v>61</v>
      </c>
      <c r="C23" s="88"/>
      <c r="D23" s="104">
        <f ca="1">D22*((D19-E6)+(G6-D21))+10^(-Mash!C40)-10^(-A6)</f>
        <v>0.94344186992369283</v>
      </c>
      <c r="E23" s="88" t="s">
        <v>49</v>
      </c>
      <c r="H23" s="39"/>
    </row>
    <row r="24" spans="1:31" x14ac:dyDescent="0.2">
      <c r="H24" s="39"/>
    </row>
    <row r="25" spans="1:31" x14ac:dyDescent="0.2">
      <c r="A25" s="32" t="s">
        <v>29</v>
      </c>
      <c r="B25" s="32" t="s">
        <v>86</v>
      </c>
      <c r="C25" s="32" t="s">
        <v>30</v>
      </c>
      <c r="D25" s="32" t="s">
        <v>31</v>
      </c>
      <c r="E25" s="32" t="s">
        <v>32</v>
      </c>
      <c r="F25" s="32" t="s">
        <v>33</v>
      </c>
      <c r="G25" s="32" t="s">
        <v>34</v>
      </c>
      <c r="H25" s="32" t="s">
        <v>35</v>
      </c>
      <c r="I25" s="32" t="s">
        <v>36</v>
      </c>
      <c r="J25" s="32" t="s">
        <v>37</v>
      </c>
      <c r="K25" s="32" t="s">
        <v>38</v>
      </c>
      <c r="L25" s="32" t="s">
        <v>39</v>
      </c>
      <c r="M25" s="32" t="s">
        <v>40</v>
      </c>
      <c r="N25" s="32" t="s">
        <v>41</v>
      </c>
      <c r="O25" s="32" t="s">
        <v>48</v>
      </c>
      <c r="P25" s="32"/>
      <c r="Q25" s="88" t="s">
        <v>83</v>
      </c>
      <c r="S25" s="36" t="s">
        <v>84</v>
      </c>
    </row>
    <row r="26" spans="1:31" x14ac:dyDescent="0.2">
      <c r="P26" s="32"/>
    </row>
    <row r="27" spans="1:31" x14ac:dyDescent="0.2">
      <c r="P27" s="40" t="s">
        <v>57</v>
      </c>
    </row>
    <row r="28" spans="1:31" x14ac:dyDescent="0.2">
      <c r="A28" s="32" t="s">
        <v>23</v>
      </c>
      <c r="B28" s="32">
        <v>36.46</v>
      </c>
      <c r="C28" s="32">
        <v>-4</v>
      </c>
      <c r="D28" s="32">
        <v>20</v>
      </c>
      <c r="E28" s="32">
        <v>20</v>
      </c>
      <c r="F28" s="32">
        <f>Mash!$C$40</f>
        <v>5.5</v>
      </c>
      <c r="G28" s="32">
        <f t="shared" ref="G28:I34" si="0">10^($F28-C28)</f>
        <v>3162277660.1683846</v>
      </c>
      <c r="H28" s="32">
        <f t="shared" si="0"/>
        <v>3.162277660168368E-15</v>
      </c>
      <c r="I28" s="32">
        <f t="shared" si="0"/>
        <v>3.162277660168368E-15</v>
      </c>
      <c r="J28" s="32">
        <f t="shared" ref="J28:J34" si="1">1/(1+G28+G28*H28+G28*H28*I28)</f>
        <v>3.1622776591683642E-10</v>
      </c>
      <c r="K28" s="32">
        <f t="shared" ref="K28:K34" si="2">J28</f>
        <v>3.1622776591683642E-10</v>
      </c>
      <c r="L28" s="32">
        <f t="shared" ref="L28:L34" si="3">K28*G28</f>
        <v>0.99999999968376907</v>
      </c>
      <c r="M28" s="32">
        <f t="shared" ref="M28:M34" si="4">G28*H28*J28</f>
        <v>3.1622776591683582E-15</v>
      </c>
      <c r="N28" s="32">
        <f t="shared" ref="N28:N34" si="5">G28*H28*I28*J28</f>
        <v>9.9999999968376191E-30</v>
      </c>
      <c r="O28" s="41">
        <f t="shared" ref="O28:O34" si="6">L28+2*M28+3*N28</f>
        <v>0.9999999996837754</v>
      </c>
      <c r="P28" s="42">
        <f t="shared" ref="P28:P34" ca="1" si="7">D$23/O28</f>
        <v>0.94344187022203241</v>
      </c>
      <c r="Q28" s="89">
        <v>1.1890000000000001</v>
      </c>
      <c r="R28" s="90">
        <v>0.189</v>
      </c>
      <c r="S28" s="91">
        <v>0.38</v>
      </c>
    </row>
    <row r="29" spans="1:31" x14ac:dyDescent="0.2">
      <c r="A29" s="32" t="s">
        <v>22</v>
      </c>
      <c r="B29" s="32">
        <v>97.99</v>
      </c>
      <c r="C29" s="32">
        <v>2.15</v>
      </c>
      <c r="D29" s="32">
        <v>7.2</v>
      </c>
      <c r="E29" s="32">
        <v>12.35</v>
      </c>
      <c r="F29" s="32">
        <f>Mash!$C$40</f>
        <v>5.5</v>
      </c>
      <c r="G29" s="32">
        <f t="shared" si="0"/>
        <v>2238.7211385683418</v>
      </c>
      <c r="H29" s="32">
        <f t="shared" si="0"/>
        <v>1.9952623149688785E-2</v>
      </c>
      <c r="I29" s="32">
        <f t="shared" si="0"/>
        <v>1.4125375446227539E-7</v>
      </c>
      <c r="J29" s="32">
        <f t="shared" si="1"/>
        <v>4.3775371853542006E-4</v>
      </c>
      <c r="K29" s="32">
        <f t="shared" si="2"/>
        <v>4.3775371853542006E-4</v>
      </c>
      <c r="L29" s="32">
        <f t="shared" si="3"/>
        <v>0.98000850317214094</v>
      </c>
      <c r="M29" s="32">
        <f t="shared" si="4"/>
        <v>1.9553740347284316E-2</v>
      </c>
      <c r="N29" s="32">
        <f t="shared" si="5"/>
        <v>2.7620392378343862E-9</v>
      </c>
      <c r="O29" s="41">
        <f t="shared" si="6"/>
        <v>1.0191159921528274</v>
      </c>
      <c r="P29" s="42">
        <f t="shared" ca="1" si="7"/>
        <v>0.92574532947002719</v>
      </c>
      <c r="Q29" s="89">
        <v>1.885</v>
      </c>
      <c r="R29" s="90">
        <v>0.88500000000000001</v>
      </c>
      <c r="S29" s="91">
        <v>1</v>
      </c>
      <c r="AB29" s="40"/>
    </row>
    <row r="30" spans="1:31" x14ac:dyDescent="0.2">
      <c r="A30" s="32" t="s">
        <v>21</v>
      </c>
      <c r="B30" s="32">
        <v>90.08</v>
      </c>
      <c r="C30" s="32">
        <v>3.86</v>
      </c>
      <c r="D30" s="32">
        <v>20</v>
      </c>
      <c r="E30" s="32">
        <v>20</v>
      </c>
      <c r="F30" s="32">
        <f>Mash!$C$40</f>
        <v>5.5</v>
      </c>
      <c r="G30" s="32">
        <f t="shared" si="0"/>
        <v>43.651583224016633</v>
      </c>
      <c r="H30" s="32">
        <f t="shared" si="0"/>
        <v>3.162277660168368E-15</v>
      </c>
      <c r="I30" s="32">
        <f t="shared" si="0"/>
        <v>3.162277660168368E-15</v>
      </c>
      <c r="J30" s="32">
        <f t="shared" si="1"/>
        <v>2.2395622457170333E-2</v>
      </c>
      <c r="K30" s="32">
        <f t="shared" si="2"/>
        <v>2.2395622457170333E-2</v>
      </c>
      <c r="L30" s="32">
        <f t="shared" si="3"/>
        <v>0.9776043775428267</v>
      </c>
      <c r="M30" s="32">
        <f t="shared" si="4"/>
        <v>3.0914564835864837E-15</v>
      </c>
      <c r="N30" s="32">
        <f t="shared" si="5"/>
        <v>9.7760437754281962E-30</v>
      </c>
      <c r="O30" s="41">
        <f t="shared" si="6"/>
        <v>0.97760437754283291</v>
      </c>
      <c r="P30" s="42">
        <f t="shared" ca="1" si="7"/>
        <v>0.96505487454443883</v>
      </c>
      <c r="Q30" s="89">
        <v>1.206</v>
      </c>
      <c r="R30" s="92">
        <v>0.20599999999999999</v>
      </c>
      <c r="S30" s="91">
        <v>1</v>
      </c>
      <c r="T30" s="32"/>
      <c r="U30" s="32"/>
      <c r="V30" s="32"/>
      <c r="W30" s="32"/>
      <c r="X30" s="32"/>
      <c r="Y30" s="32"/>
      <c r="Z30" s="32"/>
      <c r="AA30" s="32"/>
      <c r="AB30" s="32"/>
    </row>
    <row r="31" spans="1:31" x14ac:dyDescent="0.2">
      <c r="A31" s="32" t="s">
        <v>50</v>
      </c>
      <c r="B31" s="32">
        <v>98.07</v>
      </c>
      <c r="C31" s="32">
        <v>-3</v>
      </c>
      <c r="D31" s="32">
        <v>1.99</v>
      </c>
      <c r="E31" s="32">
        <v>20</v>
      </c>
      <c r="F31" s="32">
        <f>Mash!$C$40</f>
        <v>5.5</v>
      </c>
      <c r="G31" s="32">
        <f t="shared" si="0"/>
        <v>316227766.01683807</v>
      </c>
      <c r="H31" s="32">
        <f t="shared" si="0"/>
        <v>3235.9365692962833</v>
      </c>
      <c r="I31" s="32">
        <f t="shared" si="0"/>
        <v>3.162277660168368E-15</v>
      </c>
      <c r="J31" s="32">
        <f t="shared" si="1"/>
        <v>9.7693531907941095E-13</v>
      </c>
      <c r="K31" s="32">
        <f t="shared" si="2"/>
        <v>9.7693531907941095E-13</v>
      </c>
      <c r="L31" s="32">
        <f t="shared" si="3"/>
        <v>3.08934073495429E-4</v>
      </c>
      <c r="M31" s="32">
        <f t="shared" si="4"/>
        <v>0.99969106592552437</v>
      </c>
      <c r="N31" s="32">
        <f t="shared" si="5"/>
        <v>3.1613007248461889E-15</v>
      </c>
      <c r="O31" s="41">
        <f t="shared" si="6"/>
        <v>1.9996910659245537</v>
      </c>
      <c r="P31" s="42">
        <f t="shared" ca="1" si="7"/>
        <v>0.47179381155433331</v>
      </c>
      <c r="Q31" s="89">
        <v>1.84</v>
      </c>
      <c r="R31" s="90">
        <v>0.84</v>
      </c>
      <c r="S31" s="91">
        <v>1</v>
      </c>
      <c r="V31" s="32"/>
      <c r="W31" s="32"/>
      <c r="X31" s="32"/>
      <c r="Y31" s="32"/>
      <c r="Z31" s="32"/>
      <c r="AA31" s="32"/>
      <c r="AB31" s="32"/>
    </row>
    <row r="32" spans="1:31" x14ac:dyDescent="0.2">
      <c r="A32" s="36" t="s">
        <v>78</v>
      </c>
      <c r="B32" s="32">
        <v>60.05</v>
      </c>
      <c r="C32" s="32">
        <v>4.76</v>
      </c>
      <c r="D32" s="32">
        <v>20</v>
      </c>
      <c r="E32" s="32">
        <v>20</v>
      </c>
      <c r="F32" s="32">
        <f>Mash!$C$40</f>
        <v>5.5</v>
      </c>
      <c r="G32" s="32">
        <f t="shared" si="0"/>
        <v>5.4954087385762493</v>
      </c>
      <c r="H32" s="32">
        <f t="shared" si="0"/>
        <v>3.162277660168368E-15</v>
      </c>
      <c r="I32" s="32">
        <f t="shared" si="0"/>
        <v>3.162277660168368E-15</v>
      </c>
      <c r="J32" s="32">
        <f t="shared" si="1"/>
        <v>0.15395489956790473</v>
      </c>
      <c r="K32" s="32">
        <f t="shared" si="2"/>
        <v>0.15395489956790473</v>
      </c>
      <c r="L32" s="32">
        <f t="shared" si="3"/>
        <v>0.84604510043209247</v>
      </c>
      <c r="M32" s="32">
        <f t="shared" si="4"/>
        <v>2.6754295205913095E-15</v>
      </c>
      <c r="N32" s="32">
        <f t="shared" si="5"/>
        <v>8.4604510043208653E-30</v>
      </c>
      <c r="O32" s="41">
        <f t="shared" si="6"/>
        <v>0.8460451004320978</v>
      </c>
      <c r="P32" s="42">
        <f t="shared" ca="1" si="7"/>
        <v>1.115120067998564</v>
      </c>
      <c r="Q32" s="89">
        <v>1.0489999999999999</v>
      </c>
      <c r="R32" s="90">
        <v>4.9000000000000002E-2</v>
      </c>
      <c r="S32" s="91">
        <v>1</v>
      </c>
      <c r="V32" s="28"/>
      <c r="W32" s="28"/>
      <c r="X32" s="28"/>
      <c r="Y32" s="28"/>
      <c r="Z32" s="28"/>
      <c r="AA32" s="28"/>
      <c r="AB32" s="28"/>
    </row>
    <row r="33" spans="1:28" x14ac:dyDescent="0.2">
      <c r="A33" s="36" t="s">
        <v>80</v>
      </c>
      <c r="B33" s="32">
        <v>150.09</v>
      </c>
      <c r="C33" s="32">
        <v>2.98</v>
      </c>
      <c r="D33" s="32">
        <v>4.34</v>
      </c>
      <c r="E33" s="32">
        <v>20</v>
      </c>
      <c r="F33" s="32">
        <f>Mash!$C$40</f>
        <v>5.5</v>
      </c>
      <c r="G33" s="32">
        <f t="shared" si="0"/>
        <v>331.13112148259137</v>
      </c>
      <c r="H33" s="32">
        <f t="shared" si="0"/>
        <v>14.454397707459282</v>
      </c>
      <c r="I33" s="32">
        <f t="shared" si="0"/>
        <v>3.162277660168368E-15</v>
      </c>
      <c r="J33" s="32">
        <f t="shared" si="1"/>
        <v>1.9537233107035499E-4</v>
      </c>
      <c r="K33" s="32">
        <f t="shared" si="2"/>
        <v>1.9537233107035499E-4</v>
      </c>
      <c r="L33" s="32">
        <f t="shared" si="3"/>
        <v>6.4693859093994777E-2</v>
      </c>
      <c r="M33" s="32">
        <f t="shared" si="4"/>
        <v>0.93511076857493192</v>
      </c>
      <c r="N33" s="32">
        <f t="shared" si="5"/>
        <v>2.9570798932473802E-15</v>
      </c>
      <c r="O33" s="41">
        <f t="shared" si="6"/>
        <v>1.9349153962438674</v>
      </c>
      <c r="P33" s="42">
        <f t="shared" ca="1" si="7"/>
        <v>0.48758817659683656</v>
      </c>
      <c r="Q33" s="90"/>
      <c r="R33" s="90"/>
      <c r="V33" s="28"/>
      <c r="W33" s="28"/>
      <c r="X33" s="28"/>
      <c r="Y33" s="28"/>
      <c r="Z33" s="28"/>
      <c r="AA33" s="28"/>
      <c r="AB33" s="28"/>
    </row>
    <row r="34" spans="1:28" x14ac:dyDescent="0.2">
      <c r="A34" s="36" t="s">
        <v>79</v>
      </c>
      <c r="B34" s="32">
        <v>192.13</v>
      </c>
      <c r="C34" s="32">
        <v>3.14</v>
      </c>
      <c r="D34" s="32">
        <v>4.7699999999999996</v>
      </c>
      <c r="E34" s="32">
        <v>6.39</v>
      </c>
      <c r="F34" s="32">
        <f>Mash!$C$40</f>
        <v>5.5</v>
      </c>
      <c r="G34" s="32">
        <f t="shared" si="0"/>
        <v>229.08676527677744</v>
      </c>
      <c r="H34" s="32">
        <f t="shared" si="0"/>
        <v>5.3703179637025338</v>
      </c>
      <c r="I34" s="32">
        <f t="shared" si="0"/>
        <v>0.12882495516931344</v>
      </c>
      <c r="J34" s="32">
        <f t="shared" si="1"/>
        <v>6.1772442041266122E-4</v>
      </c>
      <c r="K34" s="32">
        <f t="shared" si="2"/>
        <v>6.1772442041266122E-4</v>
      </c>
      <c r="L34" s="32">
        <f t="shared" si="3"/>
        <v>0.1415124893048087</v>
      </c>
      <c r="M34" s="32">
        <f t="shared" si="4"/>
        <v>0.75996706340187692</v>
      </c>
      <c r="N34" s="32">
        <f t="shared" si="5"/>
        <v>9.7902722872901582E-2</v>
      </c>
      <c r="O34" s="41">
        <f t="shared" si="6"/>
        <v>1.9551547847272674</v>
      </c>
      <c r="P34" s="42">
        <f t="shared" ca="1" si="7"/>
        <v>0.48254075702517712</v>
      </c>
      <c r="Q34" s="90"/>
      <c r="R34" s="90"/>
      <c r="V34" s="28"/>
      <c r="W34" s="28"/>
      <c r="X34" s="28"/>
      <c r="Y34" s="28"/>
      <c r="Z34" s="28"/>
      <c r="AA34" s="28"/>
      <c r="AB34" s="28"/>
    </row>
    <row r="35" spans="1:28" x14ac:dyDescent="0.2">
      <c r="A35" s="36" t="s">
        <v>87</v>
      </c>
      <c r="B35" s="32">
        <v>134.09</v>
      </c>
      <c r="C35" s="32">
        <v>3.4</v>
      </c>
      <c r="D35" s="32">
        <v>5.1100000000000003</v>
      </c>
      <c r="E35" s="32">
        <v>20</v>
      </c>
      <c r="F35" s="32">
        <f>Mash!$C$40</f>
        <v>5.5</v>
      </c>
      <c r="G35" s="32">
        <f>10^($F35-C35)</f>
        <v>125.89254117941677</v>
      </c>
      <c r="H35" s="32">
        <f>10^($F35-D35)</f>
        <v>2.4547089156850288</v>
      </c>
      <c r="I35" s="32">
        <f>10^($F35-E35)</f>
        <v>3.162277660168368E-15</v>
      </c>
      <c r="J35" s="32">
        <f>1/(1+G35+G35*H35+G35*H35*I35)</f>
        <v>2.2939879297599508E-3</v>
      </c>
      <c r="K35" s="32">
        <f>J35</f>
        <v>2.2939879297599508E-3</v>
      </c>
      <c r="L35" s="32">
        <f>K35*G35</f>
        <v>0.28879596991238965</v>
      </c>
      <c r="M35" s="32">
        <f>G35*H35*J35</f>
        <v>0.70891004215784814</v>
      </c>
      <c r="N35" s="32">
        <f>G35*H35*I35*J35</f>
        <v>2.2417703893847793E-15</v>
      </c>
      <c r="O35" s="41">
        <f>L35+2*M35+3*N35</f>
        <v>1.7066160542280926</v>
      </c>
      <c r="P35" s="42">
        <f ca="1">D$23/O35</f>
        <v>0.55281436476959334</v>
      </c>
      <c r="R35" s="90"/>
      <c r="V35" s="28"/>
      <c r="W35" s="28"/>
      <c r="X35" s="28"/>
      <c r="Y35" s="28"/>
      <c r="Z35" s="28"/>
      <c r="AA35" s="28"/>
      <c r="AB35" s="28"/>
    </row>
    <row r="36" spans="1:28" x14ac:dyDescent="0.2">
      <c r="H36" s="27"/>
      <c r="V36" s="28"/>
      <c r="W36" s="28"/>
      <c r="X36" s="28"/>
      <c r="Y36" s="28"/>
      <c r="Z36" s="28"/>
      <c r="AA36" s="28"/>
      <c r="AB36" s="28"/>
    </row>
    <row r="37" spans="1:28" x14ac:dyDescent="0.2">
      <c r="H37" s="27"/>
      <c r="V37" s="28"/>
      <c r="W37" s="28"/>
      <c r="X37" s="28"/>
      <c r="Y37" s="28"/>
      <c r="Z37" s="28"/>
      <c r="AA37" s="28"/>
      <c r="AB37" s="28"/>
    </row>
    <row r="38" spans="1:28" x14ac:dyDescent="0.2">
      <c r="A38" t="s">
        <v>100</v>
      </c>
      <c r="B38" t="s">
        <v>101</v>
      </c>
      <c r="D38" t="s">
        <v>101</v>
      </c>
      <c r="E38" t="s">
        <v>100</v>
      </c>
      <c r="H38" s="27"/>
      <c r="V38" s="28"/>
      <c r="W38" s="28"/>
      <c r="X38" s="28"/>
      <c r="Y38" s="28"/>
      <c r="Z38" s="28"/>
      <c r="AA38" s="28"/>
      <c r="AB38" s="28"/>
    </row>
    <row r="39" spans="1:28" x14ac:dyDescent="0.2">
      <c r="A39">
        <v>0</v>
      </c>
      <c r="B39" t="s">
        <v>102</v>
      </c>
      <c r="D39" t="s">
        <v>105</v>
      </c>
      <c r="E39">
        <v>0.8</v>
      </c>
      <c r="F39" s="25">
        <f>E39/(1+E39)</f>
        <v>0.44444444444444448</v>
      </c>
      <c r="G39" s="25">
        <f>1-F39</f>
        <v>0.55555555555555558</v>
      </c>
      <c r="H39" s="27"/>
      <c r="V39" s="28"/>
      <c r="W39" s="28"/>
      <c r="X39" s="28"/>
      <c r="Y39" s="28"/>
      <c r="Z39" s="28"/>
      <c r="AA39" s="28"/>
      <c r="AB39" s="28"/>
    </row>
    <row r="40" spans="1:28" x14ac:dyDescent="0.2">
      <c r="A40">
        <v>0.4</v>
      </c>
      <c r="B40" t="s">
        <v>103</v>
      </c>
      <c r="D40" t="s">
        <v>76</v>
      </c>
      <c r="E40">
        <v>1</v>
      </c>
      <c r="F40" s="25">
        <f t="shared" ref="F40:F42" si="8">E40/(1+E40)</f>
        <v>0.5</v>
      </c>
      <c r="G40" s="25">
        <f t="shared" ref="G40:G42" si="9">1-F40</f>
        <v>0.5</v>
      </c>
      <c r="H40" s="27"/>
      <c r="I40" s="25" t="s">
        <v>172</v>
      </c>
      <c r="J40" s="3" t="s">
        <v>170</v>
      </c>
      <c r="K40" s="25" t="s">
        <v>171</v>
      </c>
      <c r="V40" s="28"/>
      <c r="W40" s="28"/>
      <c r="X40" s="28"/>
      <c r="Y40" s="28"/>
      <c r="Z40" s="28"/>
      <c r="AA40" s="28"/>
      <c r="AB40" s="28"/>
    </row>
    <row r="41" spans="1:28" x14ac:dyDescent="0.2">
      <c r="A41" s="25">
        <v>0.6</v>
      </c>
      <c r="B41" s="25" t="s">
        <v>104</v>
      </c>
      <c r="D41" t="s">
        <v>108</v>
      </c>
      <c r="E41">
        <v>4</v>
      </c>
      <c r="F41" s="25">
        <f t="shared" si="8"/>
        <v>0.8</v>
      </c>
      <c r="G41" s="25">
        <f t="shared" si="9"/>
        <v>0.19999999999999996</v>
      </c>
      <c r="H41" s="27"/>
      <c r="I41" s="25" t="s">
        <v>168</v>
      </c>
      <c r="J41" s="3">
        <v>3.99</v>
      </c>
      <c r="K41" s="3">
        <f>J42/J41</f>
        <v>1.0426065162907268</v>
      </c>
      <c r="V41" s="28"/>
      <c r="W41" s="28"/>
      <c r="X41" s="28"/>
      <c r="Y41" s="28"/>
      <c r="Z41" s="28"/>
      <c r="AA41" s="28"/>
      <c r="AB41" s="28"/>
    </row>
    <row r="42" spans="1:28" x14ac:dyDescent="0.2">
      <c r="A42">
        <v>0.8</v>
      </c>
      <c r="B42" t="s">
        <v>105</v>
      </c>
      <c r="D42" t="s">
        <v>106</v>
      </c>
      <c r="E42">
        <v>1.5</v>
      </c>
      <c r="F42" s="25">
        <f t="shared" si="8"/>
        <v>0.6</v>
      </c>
      <c r="G42" s="25">
        <f t="shared" si="9"/>
        <v>0.4</v>
      </c>
      <c r="H42" s="27"/>
      <c r="I42" s="25" t="s">
        <v>169</v>
      </c>
      <c r="J42" s="138">
        <v>4.16</v>
      </c>
      <c r="K42" s="3"/>
      <c r="M42" s="28"/>
      <c r="N42" s="28"/>
      <c r="U42" s="28"/>
      <c r="V42" s="28"/>
      <c r="W42" s="28"/>
      <c r="X42" s="28"/>
      <c r="Y42" s="28"/>
      <c r="Z42" s="28"/>
      <c r="AA42" s="28"/>
      <c r="AB42" s="28"/>
    </row>
    <row r="43" spans="1:28" x14ac:dyDescent="0.2">
      <c r="A43">
        <v>1</v>
      </c>
      <c r="B43" t="s">
        <v>76</v>
      </c>
      <c r="D43" t="s">
        <v>104</v>
      </c>
      <c r="E43">
        <v>0.6</v>
      </c>
      <c r="H43" s="27"/>
      <c r="M43" s="28"/>
      <c r="N43" s="28"/>
      <c r="O43" s="28"/>
      <c r="P43" s="28"/>
      <c r="Q43" s="28"/>
      <c r="R43" s="28"/>
      <c r="S43" s="28"/>
      <c r="T43" s="28"/>
      <c r="U43" s="28"/>
      <c r="V43" s="28"/>
      <c r="W43" s="28"/>
      <c r="X43" s="28"/>
      <c r="Y43" s="28"/>
      <c r="Z43" s="28"/>
      <c r="AA43" s="28"/>
      <c r="AB43" s="28"/>
    </row>
    <row r="44" spans="1:28" x14ac:dyDescent="0.2">
      <c r="A44">
        <v>1.2</v>
      </c>
      <c r="B44" t="s">
        <v>77</v>
      </c>
      <c r="D44" t="s">
        <v>81</v>
      </c>
      <c r="E44">
        <v>1.75</v>
      </c>
      <c r="H44" s="27"/>
      <c r="M44" s="28"/>
      <c r="N44" s="28"/>
      <c r="O44" s="28"/>
      <c r="P44" s="28"/>
      <c r="Q44" s="28"/>
      <c r="R44" s="28"/>
      <c r="S44" s="28"/>
      <c r="T44" s="28"/>
      <c r="U44" s="28"/>
      <c r="V44" s="28"/>
      <c r="W44" s="28"/>
      <c r="X44" s="28"/>
      <c r="Y44" s="28"/>
      <c r="Z44" s="28"/>
      <c r="AA44" s="28"/>
      <c r="AB44" s="28"/>
    </row>
    <row r="45" spans="1:28" x14ac:dyDescent="0.2">
      <c r="A45">
        <v>1.5</v>
      </c>
      <c r="B45" t="s">
        <v>106</v>
      </c>
      <c r="D45" t="s">
        <v>107</v>
      </c>
      <c r="E45">
        <v>2</v>
      </c>
      <c r="H45" s="27"/>
      <c r="M45" s="28"/>
      <c r="N45" s="28"/>
      <c r="O45" s="28"/>
      <c r="P45" s="28"/>
      <c r="Q45" s="28"/>
      <c r="R45" s="28"/>
      <c r="S45" s="28"/>
      <c r="T45" s="28"/>
      <c r="U45" s="28"/>
      <c r="V45" s="28"/>
      <c r="W45" s="28"/>
      <c r="X45" s="28"/>
      <c r="Y45" s="28"/>
      <c r="Z45" s="28"/>
      <c r="AA45" s="28"/>
      <c r="AB45" s="28"/>
    </row>
    <row r="46" spans="1:28" x14ac:dyDescent="0.2">
      <c r="A46">
        <v>1.75</v>
      </c>
      <c r="B46" t="s">
        <v>81</v>
      </c>
      <c r="D46" t="s">
        <v>109</v>
      </c>
      <c r="E46">
        <v>6</v>
      </c>
    </row>
    <row r="47" spans="1:28" x14ac:dyDescent="0.2">
      <c r="A47">
        <v>2</v>
      </c>
      <c r="B47" t="s">
        <v>107</v>
      </c>
      <c r="D47" t="s">
        <v>77</v>
      </c>
      <c r="E47">
        <v>1.2</v>
      </c>
    </row>
    <row r="48" spans="1:28" x14ac:dyDescent="0.2">
      <c r="A48">
        <v>4</v>
      </c>
      <c r="B48" t="s">
        <v>108</v>
      </c>
      <c r="D48" s="25" t="s">
        <v>111</v>
      </c>
      <c r="E48" s="25">
        <v>9</v>
      </c>
    </row>
    <row r="49" spans="1:8" x14ac:dyDescent="0.2">
      <c r="A49">
        <v>6</v>
      </c>
      <c r="B49" t="s">
        <v>109</v>
      </c>
      <c r="D49" t="s">
        <v>102</v>
      </c>
      <c r="E49">
        <v>0</v>
      </c>
    </row>
    <row r="50" spans="1:8" x14ac:dyDescent="0.2">
      <c r="A50">
        <v>8</v>
      </c>
      <c r="B50" t="s">
        <v>110</v>
      </c>
      <c r="D50" s="25" t="s">
        <v>103</v>
      </c>
      <c r="E50">
        <v>0.4</v>
      </c>
    </row>
    <row r="51" spans="1:8" x14ac:dyDescent="0.2">
      <c r="A51">
        <v>9</v>
      </c>
      <c r="B51" t="s">
        <v>111</v>
      </c>
      <c r="D51" s="25" t="s">
        <v>110</v>
      </c>
      <c r="E51">
        <v>8</v>
      </c>
      <c r="H51" s="25" t="s">
        <v>155</v>
      </c>
    </row>
    <row r="52" spans="1:8" x14ac:dyDescent="0.2">
      <c r="H52" s="25" t="s">
        <v>156</v>
      </c>
    </row>
    <row r="53" spans="1:8" x14ac:dyDescent="0.2">
      <c r="H53" s="25" t="s">
        <v>157</v>
      </c>
    </row>
    <row r="54" spans="1:8" x14ac:dyDescent="0.2">
      <c r="H54" s="25" t="s">
        <v>158</v>
      </c>
    </row>
    <row r="55" spans="1:8" x14ac:dyDescent="0.2">
      <c r="H55" s="25" t="s">
        <v>166</v>
      </c>
    </row>
    <row r="56" spans="1:8" x14ac:dyDescent="0.2">
      <c r="H56" s="1" t="s">
        <v>167</v>
      </c>
    </row>
    <row r="57" spans="1:8" x14ac:dyDescent="0.2">
      <c r="H57" s="25" t="s">
        <v>159</v>
      </c>
    </row>
    <row r="58" spans="1:8" x14ac:dyDescent="0.2">
      <c r="H58" s="25" t="s">
        <v>160</v>
      </c>
    </row>
    <row r="59" spans="1:8" x14ac:dyDescent="0.2">
      <c r="H59" s="3"/>
    </row>
  </sheetData>
  <sortState ref="D39:E51">
    <sortCondition ref="D39"/>
  </sortState>
  <hyperlinks>
    <hyperlink ref="I19" r:id="rId1"/>
  </hyperlinks>
  <pageMargins left="0.75" right="0.75" top="1" bottom="1" header="0.5" footer="0.5"/>
  <pageSetup orientation="portrait" horizontalDpi="4294967292" verticalDpi="4294967292"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Mash</vt:lpstr>
      <vt:lpstr>Summary</vt:lpstr>
      <vt:lpstr>Water Profiles</vt:lpstr>
      <vt:lpstr>Scratch</vt:lpstr>
      <vt:lpstr>Scratch!Acid_List</vt:lpstr>
      <vt:lpstr>Scratch!CaCO3</vt:lpstr>
      <vt:lpstr>Scratch!Carbo</vt:lpstr>
      <vt:lpstr>Summary!Print_Area</vt:lpstr>
    </vt:vector>
  </TitlesOfParts>
  <Company>Defenestrative Publishing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Palmers</dc:creator>
  <cp:lastModifiedBy>Daniel Hillesheim</cp:lastModifiedBy>
  <cp:lastPrinted>2015-02-27T12:32:50Z</cp:lastPrinted>
  <dcterms:created xsi:type="dcterms:W3CDTF">2006-10-15T17:11:06Z</dcterms:created>
  <dcterms:modified xsi:type="dcterms:W3CDTF">2015-03-29T13:07:33Z</dcterms:modified>
</cp:coreProperties>
</file>